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新恒源\工作文件\3-常用计算文件\"/>
    </mc:Choice>
  </mc:AlternateContent>
  <xr:revisionPtr revIDLastSave="0" documentId="13_ncr:1_{12CD7AA9-388A-49EB-8571-BB7F2D0CD3F4}" xr6:coauthVersionLast="47" xr6:coauthVersionMax="47" xr10:uidLastSave="{00000000-0000-0000-0000-000000000000}"/>
  <bookViews>
    <workbookView xWindow="19090" yWindow="-110" windowWidth="25820" windowHeight="15500" tabRatio="970" firstSheet="9" activeTab="14" xr2:uid="{00000000-000D-0000-FFFF-FFFF00000000}"/>
  </bookViews>
  <sheets>
    <sheet name="封面" sheetId="2" r:id="rId1"/>
    <sheet name="美标建筑荷载风压计算" sheetId="4" r:id="rId2"/>
    <sheet name="跟踪支架计算书1P" sheetId="1" r:id="rId3"/>
    <sheet name="跟踪支架计算书2P" sheetId="17" r:id="rId4"/>
    <sheet name="跟踪支架荷载计算" sheetId="21" r:id="rId5"/>
    <sheet name="Sheet2" sheetId="27" r:id="rId6"/>
    <sheet name="立柱底板计算" sheetId="3" r:id="rId7"/>
    <sheet name="减速机选型" sheetId="5" r:id="rId8"/>
    <sheet name="风压雪压重现期换算" sheetId="7" r:id="rId9"/>
    <sheet name="主梁四边形计算" sheetId="9" r:id="rId10"/>
    <sheet name="主梁六边形计算" sheetId="10" r:id="rId11"/>
    <sheet name="截面计算" sheetId="12" r:id="rId12"/>
    <sheet name="固定支架荷载计算" sheetId="13" r:id="rId13"/>
    <sheet name="25年一遇固定支架荷载计算" sheetId="29" r:id="rId14"/>
    <sheet name="型钢开孔折减" sheetId="19" r:id="rId15"/>
    <sheet name="50年一遇固定支架荷载计算 (风压高度1.2)" sheetId="30" r:id="rId16"/>
    <sheet name="预应力钢丝绳计算" sheetId="15" r:id="rId17"/>
    <sheet name="预应力管桩基础计算" sheetId="16" r:id="rId18"/>
    <sheet name="螺旋锚基础计算" sheetId="20" r:id="rId19"/>
    <sheet name="单柱螺旋锚计算" sheetId="23" r:id="rId20"/>
    <sheet name="各规范冷弯" sheetId="18" r:id="rId21"/>
    <sheet name="弹性桩基础计算- 圆" sheetId="24" r:id="rId22"/>
    <sheet name="插入式管桩基础计算" sheetId="26" r:id="rId23"/>
    <sheet name="埋入式基础" sheetId="28" r:id="rId24"/>
  </sheets>
  <definedNames>
    <definedName name="_xlnm._FilterDatabase" localSheetId="6" hidden="1">立柱底板计算!$A$2:$F$52</definedName>
    <definedName name="_xlnm.Print_Area" localSheetId="2">跟踪支架计算书1P!$A$1:$H$274</definedName>
    <definedName name="_xlnm.Print_Area" localSheetId="3">跟踪支架计算书2P!$A$1:$H$256</definedName>
    <definedName name="_xlnm.Print_Area" localSheetId="6">立柱底板计算!$A$1:$F$58</definedName>
    <definedName name="_xlnm.Print_Area" localSheetId="1">美标建筑荷载风压计算!$A$1:$F$39</definedName>
    <definedName name="_xlnm.Print_Area" localSheetId="17">预应力管桩基础计算!$A$1:$F$87</definedName>
    <definedName name="_xlnm.Print_Titles" localSheetId="2">跟踪支架计算书1P!$1:$2</definedName>
    <definedName name="_xlnm.Print_Titles" localSheetId="17">预应力管桩基础计算!$1:$2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8" l="1"/>
  <c r="D18" i="28"/>
  <c r="D17" i="28"/>
  <c r="C12" i="28"/>
  <c r="D11" i="28"/>
  <c r="D10" i="28"/>
  <c r="C5" i="28"/>
  <c r="D4" i="28"/>
  <c r="D3" i="28"/>
  <c r="G83" i="26"/>
  <c r="F83" i="26"/>
  <c r="E83" i="26"/>
  <c r="D83" i="26"/>
  <c r="G82" i="26"/>
  <c r="F82" i="26"/>
  <c r="E82" i="26"/>
  <c r="D82" i="26"/>
  <c r="G81" i="26"/>
  <c r="F81" i="26"/>
  <c r="E81" i="26"/>
  <c r="D81" i="26"/>
  <c r="D79" i="26"/>
  <c r="D78" i="26"/>
  <c r="D77" i="26"/>
  <c r="D76" i="26"/>
  <c r="D74" i="26"/>
  <c r="D73" i="26"/>
  <c r="D70" i="26"/>
  <c r="B68" i="26"/>
  <c r="F64" i="26"/>
  <c r="E64" i="26"/>
  <c r="D64" i="26"/>
  <c r="C64" i="26"/>
  <c r="F62" i="26"/>
  <c r="E62" i="26"/>
  <c r="D62" i="26"/>
  <c r="C62" i="26"/>
  <c r="D59" i="26"/>
  <c r="D58" i="26"/>
  <c r="D56" i="26"/>
  <c r="D54" i="26"/>
  <c r="G51" i="26"/>
  <c r="E51" i="26"/>
  <c r="C51" i="26"/>
  <c r="D49" i="26"/>
  <c r="X46" i="26"/>
  <c r="X43" i="26"/>
  <c r="W43" i="26"/>
  <c r="V43" i="26"/>
  <c r="X42" i="26"/>
  <c r="W42" i="26"/>
  <c r="V42" i="26"/>
  <c r="X41" i="26"/>
  <c r="W41" i="26"/>
  <c r="V41" i="26"/>
  <c r="X40" i="26"/>
  <c r="W40" i="26"/>
  <c r="V40" i="26"/>
  <c r="X39" i="26"/>
  <c r="W39" i="26"/>
  <c r="V39" i="26"/>
  <c r="X38" i="26"/>
  <c r="W38" i="26"/>
  <c r="V38" i="26"/>
  <c r="D24" i="26"/>
  <c r="F23" i="26"/>
  <c r="E23" i="26"/>
  <c r="D23" i="26"/>
  <c r="D22" i="26"/>
  <c r="D21" i="26"/>
  <c r="D20" i="26"/>
  <c r="H19" i="26"/>
  <c r="D19" i="26"/>
  <c r="H18" i="26"/>
  <c r="D18" i="26"/>
  <c r="AF17" i="26"/>
  <c r="H17" i="26"/>
  <c r="D15" i="26"/>
  <c r="AG14" i="26"/>
  <c r="A13" i="26"/>
  <c r="G12" i="26"/>
  <c r="E12" i="26"/>
  <c r="D12" i="26"/>
  <c r="C12" i="26"/>
  <c r="B12" i="26"/>
  <c r="V10" i="26"/>
  <c r="V9" i="26"/>
  <c r="I2" i="26"/>
  <c r="R88" i="24"/>
  <c r="N88" i="24"/>
  <c r="R87" i="24"/>
  <c r="N87" i="24"/>
  <c r="G87" i="24"/>
  <c r="F87" i="24"/>
  <c r="E87" i="24"/>
  <c r="D87" i="24"/>
  <c r="R86" i="24"/>
  <c r="G86" i="24"/>
  <c r="F86" i="24"/>
  <c r="E86" i="24"/>
  <c r="D86" i="24"/>
  <c r="R85" i="24"/>
  <c r="O85" i="24"/>
  <c r="G85" i="24"/>
  <c r="F85" i="24"/>
  <c r="E85" i="24"/>
  <c r="D85" i="24"/>
  <c r="R84" i="24"/>
  <c r="O84" i="24"/>
  <c r="R83" i="24"/>
  <c r="O83" i="24"/>
  <c r="D83" i="24"/>
  <c r="R82" i="24"/>
  <c r="O82" i="24"/>
  <c r="D82" i="24"/>
  <c r="D81" i="24"/>
  <c r="D80" i="24"/>
  <c r="D78" i="24"/>
  <c r="O77" i="24"/>
  <c r="D77" i="24"/>
  <c r="O76" i="24"/>
  <c r="D74" i="24"/>
  <c r="B72" i="24"/>
  <c r="O69" i="24"/>
  <c r="O68" i="24"/>
  <c r="F68" i="24"/>
  <c r="E68" i="24"/>
  <c r="D68" i="24"/>
  <c r="C68" i="24"/>
  <c r="N67" i="24"/>
  <c r="F66" i="24"/>
  <c r="E66" i="24"/>
  <c r="D66" i="24"/>
  <c r="C66" i="24"/>
  <c r="D63" i="24"/>
  <c r="D62" i="24"/>
  <c r="D60" i="24"/>
  <c r="D58" i="24"/>
  <c r="G55" i="24"/>
  <c r="E55" i="24"/>
  <c r="C55" i="24"/>
  <c r="D53" i="24"/>
  <c r="A51" i="24"/>
  <c r="P50" i="24"/>
  <c r="F50" i="24"/>
  <c r="E50" i="24"/>
  <c r="D50" i="24"/>
  <c r="D49" i="24"/>
  <c r="G48" i="24"/>
  <c r="F48" i="24"/>
  <c r="E48" i="24"/>
  <c r="D48" i="24"/>
  <c r="P47" i="24"/>
  <c r="O47" i="24"/>
  <c r="N47" i="24"/>
  <c r="D47" i="24"/>
  <c r="P46" i="24"/>
  <c r="O46" i="24"/>
  <c r="N46" i="24"/>
  <c r="D46" i="24"/>
  <c r="P45" i="24"/>
  <c r="O45" i="24"/>
  <c r="N45" i="24"/>
  <c r="D45" i="24"/>
  <c r="P44" i="24"/>
  <c r="O44" i="24"/>
  <c r="N44" i="24"/>
  <c r="G44" i="24"/>
  <c r="E44" i="24"/>
  <c r="D44" i="24"/>
  <c r="P43" i="24"/>
  <c r="O43" i="24"/>
  <c r="N43" i="24"/>
  <c r="P42" i="24"/>
  <c r="O42" i="24"/>
  <c r="N42" i="24"/>
  <c r="A42" i="24"/>
  <c r="F41" i="24"/>
  <c r="E41" i="24"/>
  <c r="D41" i="24"/>
  <c r="F40" i="24"/>
  <c r="E40" i="24"/>
  <c r="D40" i="24"/>
  <c r="D39" i="24"/>
  <c r="D38" i="24"/>
  <c r="D37" i="24"/>
  <c r="D36" i="24"/>
  <c r="D35" i="24"/>
  <c r="G34" i="24"/>
  <c r="D34" i="24"/>
  <c r="D33" i="24"/>
  <c r="D28" i="24"/>
  <c r="F27" i="24"/>
  <c r="E27" i="24"/>
  <c r="D27" i="24"/>
  <c r="D26" i="24"/>
  <c r="D25" i="24"/>
  <c r="D24" i="24"/>
  <c r="D23" i="24"/>
  <c r="D22" i="24"/>
  <c r="X21" i="24"/>
  <c r="D21" i="24"/>
  <c r="Y20" i="24"/>
  <c r="D20" i="24"/>
  <c r="Y19" i="24"/>
  <c r="D19" i="24"/>
  <c r="D18" i="24"/>
  <c r="D17" i="24"/>
  <c r="D16" i="24"/>
  <c r="Y15" i="24"/>
  <c r="A14" i="24"/>
  <c r="G13" i="24"/>
  <c r="E13" i="24"/>
  <c r="D13" i="24"/>
  <c r="C13" i="24"/>
  <c r="B13" i="24"/>
  <c r="N11" i="24"/>
  <c r="N10" i="24"/>
  <c r="G6" i="24"/>
  <c r="I4" i="24"/>
  <c r="I3" i="24"/>
  <c r="I2" i="24"/>
  <c r="G2" i="24"/>
  <c r="H60" i="23"/>
  <c r="F59" i="23"/>
  <c r="D58" i="23"/>
  <c r="A55" i="23"/>
  <c r="H54" i="23"/>
  <c r="E50" i="23"/>
  <c r="E48" i="23"/>
  <c r="G47" i="23"/>
  <c r="D45" i="23"/>
  <c r="D44" i="23"/>
  <c r="C43" i="23"/>
  <c r="D42" i="23"/>
  <c r="D41" i="23"/>
  <c r="D40" i="23"/>
  <c r="F38" i="23"/>
  <c r="D38" i="23"/>
  <c r="C38" i="23"/>
  <c r="C37" i="23"/>
  <c r="C36" i="23"/>
  <c r="C31" i="23"/>
  <c r="C30" i="23"/>
  <c r="A27" i="23"/>
  <c r="G26" i="23"/>
  <c r="E26" i="23"/>
  <c r="C26" i="23"/>
  <c r="B26" i="23"/>
  <c r="D25" i="23"/>
  <c r="D24" i="23"/>
  <c r="A81" i="20"/>
  <c r="H80" i="20"/>
  <c r="E80" i="20"/>
  <c r="C80" i="20"/>
  <c r="F79" i="20"/>
  <c r="D78" i="20"/>
  <c r="D77" i="20"/>
  <c r="A75" i="20"/>
  <c r="H74" i="20"/>
  <c r="C74" i="20"/>
  <c r="E70" i="20"/>
  <c r="E69" i="20"/>
  <c r="E68" i="20"/>
  <c r="G67" i="20"/>
  <c r="A65" i="20"/>
  <c r="H64" i="20"/>
  <c r="E64" i="20"/>
  <c r="C64" i="20"/>
  <c r="D63" i="20"/>
  <c r="E62" i="20"/>
  <c r="A59" i="20"/>
  <c r="H58" i="20"/>
  <c r="E58" i="20"/>
  <c r="C58" i="20"/>
  <c r="E56" i="20"/>
  <c r="E52" i="20"/>
  <c r="E51" i="20"/>
  <c r="E50" i="20"/>
  <c r="F48" i="20"/>
  <c r="A46" i="20"/>
  <c r="H45" i="20"/>
  <c r="E45" i="20"/>
  <c r="C45" i="20"/>
  <c r="D44" i="20"/>
  <c r="E42" i="20"/>
  <c r="F40" i="20"/>
  <c r="D38" i="20"/>
  <c r="F37" i="20"/>
  <c r="D37" i="20"/>
  <c r="G35" i="20"/>
  <c r="D33" i="20"/>
  <c r="F32" i="20"/>
  <c r="D32" i="20"/>
  <c r="G30" i="20"/>
  <c r="D28" i="20"/>
  <c r="F27" i="20"/>
  <c r="D27" i="20"/>
  <c r="G25" i="20"/>
  <c r="D23" i="20"/>
  <c r="F22" i="20"/>
  <c r="D22" i="20"/>
  <c r="G20" i="20"/>
  <c r="G7" i="20"/>
  <c r="D7" i="20"/>
  <c r="B83" i="16"/>
  <c r="D82" i="16"/>
  <c r="C82" i="16"/>
  <c r="C80" i="16"/>
  <c r="C78" i="16"/>
  <c r="C76" i="16"/>
  <c r="C74" i="16"/>
  <c r="C72" i="16"/>
  <c r="B68" i="16"/>
  <c r="D67" i="16"/>
  <c r="C67" i="16"/>
  <c r="C66" i="16"/>
  <c r="D63" i="16"/>
  <c r="C59" i="16"/>
  <c r="C57" i="16"/>
  <c r="C55" i="16"/>
  <c r="C52" i="16"/>
  <c r="C50" i="16"/>
  <c r="C47" i="16"/>
  <c r="C46" i="16"/>
  <c r="D44" i="16"/>
  <c r="C43" i="16"/>
  <c r="C41" i="16"/>
  <c r="C36" i="16"/>
  <c r="C31" i="16"/>
  <c r="D18" i="16"/>
  <c r="D13" i="16"/>
  <c r="C12" i="16"/>
  <c r="C9" i="16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O27" i="15"/>
  <c r="H27" i="15"/>
  <c r="G27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O26" i="15"/>
  <c r="H26" i="15"/>
  <c r="G26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O25" i="15"/>
  <c r="H25" i="15"/>
  <c r="G25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O24" i="15"/>
  <c r="H24" i="15"/>
  <c r="G24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O23" i="15"/>
  <c r="H23" i="15"/>
  <c r="G23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O22" i="15"/>
  <c r="H22" i="15"/>
  <c r="G22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O21" i="15"/>
  <c r="H21" i="15"/>
  <c r="G21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O20" i="15"/>
  <c r="H20" i="15"/>
  <c r="G20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O19" i="15"/>
  <c r="H19" i="15"/>
  <c r="G19" i="15"/>
  <c r="Q12" i="15"/>
  <c r="P12" i="15"/>
  <c r="O12" i="15"/>
  <c r="G12" i="15"/>
  <c r="E12" i="15"/>
  <c r="L7" i="15"/>
  <c r="K7" i="15"/>
  <c r="I7" i="15"/>
  <c r="D7" i="15"/>
  <c r="L6" i="15"/>
  <c r="K6" i="15"/>
  <c r="I6" i="15"/>
  <c r="D6" i="15"/>
  <c r="L5" i="15"/>
  <c r="K5" i="15"/>
  <c r="I5" i="15"/>
  <c r="D5" i="15"/>
  <c r="L4" i="15"/>
  <c r="K4" i="15"/>
  <c r="I4" i="15"/>
  <c r="D4" i="15"/>
  <c r="L3" i="15"/>
  <c r="K3" i="15"/>
  <c r="I3" i="15"/>
  <c r="D3" i="15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B13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B12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B11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B10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B9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B8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B7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B6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B5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B4" i="19"/>
  <c r="A92" i="30"/>
  <c r="G91" i="30"/>
  <c r="F91" i="30"/>
  <c r="E91" i="30"/>
  <c r="D91" i="30"/>
  <c r="D89" i="30"/>
  <c r="D88" i="30"/>
  <c r="D87" i="30"/>
  <c r="D86" i="30"/>
  <c r="D85" i="30"/>
  <c r="D84" i="30"/>
  <c r="A83" i="30"/>
  <c r="G82" i="30"/>
  <c r="F82" i="30"/>
  <c r="E82" i="30"/>
  <c r="D82" i="30"/>
  <c r="D80" i="30"/>
  <c r="BJ79" i="30"/>
  <c r="BI79" i="30"/>
  <c r="BH79" i="30"/>
  <c r="BG79" i="30"/>
  <c r="BF79" i="30"/>
  <c r="BE79" i="30"/>
  <c r="BD79" i="30"/>
  <c r="BC79" i="30"/>
  <c r="BB79" i="30"/>
  <c r="BA79" i="30"/>
  <c r="AZ79" i="30"/>
  <c r="AY79" i="30"/>
  <c r="AX79" i="30"/>
  <c r="AW79" i="30"/>
  <c r="AV79" i="30"/>
  <c r="AU79" i="30"/>
  <c r="AT79" i="30"/>
  <c r="AS79" i="30"/>
  <c r="AR79" i="30"/>
  <c r="AQ79" i="30"/>
  <c r="AP79" i="30"/>
  <c r="AO79" i="30"/>
  <c r="AN79" i="30"/>
  <c r="AM79" i="30"/>
  <c r="AL79" i="30"/>
  <c r="AK79" i="30"/>
  <c r="AJ79" i="30"/>
  <c r="AI79" i="30"/>
  <c r="AH79" i="30"/>
  <c r="AG79" i="30"/>
  <c r="AF79" i="30"/>
  <c r="AE79" i="30"/>
  <c r="AD79" i="30"/>
  <c r="AC79" i="30"/>
  <c r="AB79" i="30"/>
  <c r="AA79" i="30"/>
  <c r="Y78" i="30"/>
  <c r="X78" i="30"/>
  <c r="W78" i="30"/>
  <c r="V78" i="30"/>
  <c r="U78" i="30"/>
  <c r="T78" i="30"/>
  <c r="S78" i="30"/>
  <c r="R78" i="30"/>
  <c r="Q78" i="30"/>
  <c r="P78" i="30"/>
  <c r="K78" i="30"/>
  <c r="D78" i="30"/>
  <c r="AC77" i="30"/>
  <c r="AB77" i="30"/>
  <c r="Y77" i="30"/>
  <c r="X77" i="30"/>
  <c r="W77" i="30"/>
  <c r="V77" i="30"/>
  <c r="U77" i="30"/>
  <c r="T77" i="30"/>
  <c r="S77" i="30"/>
  <c r="R77" i="30"/>
  <c r="Q77" i="30"/>
  <c r="P77" i="30"/>
  <c r="K77" i="30"/>
  <c r="D77" i="30"/>
  <c r="Y76" i="30"/>
  <c r="X76" i="30"/>
  <c r="W76" i="30"/>
  <c r="V76" i="30"/>
  <c r="U76" i="30"/>
  <c r="T76" i="30"/>
  <c r="S76" i="30"/>
  <c r="R76" i="30"/>
  <c r="Q76" i="30"/>
  <c r="P76" i="30"/>
  <c r="K76" i="30"/>
  <c r="D76" i="30"/>
  <c r="Y75" i="30"/>
  <c r="X75" i="30"/>
  <c r="W75" i="30"/>
  <c r="V75" i="30"/>
  <c r="U75" i="30"/>
  <c r="T75" i="30"/>
  <c r="S75" i="30"/>
  <c r="R75" i="30"/>
  <c r="Q75" i="30"/>
  <c r="P75" i="30"/>
  <c r="K75" i="30"/>
  <c r="D75" i="30"/>
  <c r="Y74" i="30"/>
  <c r="X74" i="30"/>
  <c r="W74" i="30"/>
  <c r="V74" i="30"/>
  <c r="U74" i="30"/>
  <c r="T74" i="30"/>
  <c r="S74" i="30"/>
  <c r="R74" i="30"/>
  <c r="Q74" i="30"/>
  <c r="P74" i="30"/>
  <c r="K74" i="30"/>
  <c r="D74" i="30"/>
  <c r="Y73" i="30"/>
  <c r="X73" i="30"/>
  <c r="W73" i="30"/>
  <c r="V73" i="30"/>
  <c r="U73" i="30"/>
  <c r="T73" i="30"/>
  <c r="S73" i="30"/>
  <c r="R73" i="30"/>
  <c r="Q73" i="30"/>
  <c r="P73" i="30"/>
  <c r="K73" i="30"/>
  <c r="AC72" i="30"/>
  <c r="Y72" i="30"/>
  <c r="X72" i="30"/>
  <c r="W72" i="30"/>
  <c r="V72" i="30"/>
  <c r="U72" i="30"/>
  <c r="T72" i="30"/>
  <c r="S72" i="30"/>
  <c r="R72" i="30"/>
  <c r="Q72" i="30"/>
  <c r="P72" i="30"/>
  <c r="K72" i="30"/>
  <c r="AC71" i="30"/>
  <c r="Y71" i="30"/>
  <c r="X71" i="30"/>
  <c r="W71" i="30"/>
  <c r="V71" i="30"/>
  <c r="U71" i="30"/>
  <c r="T71" i="30"/>
  <c r="S71" i="30"/>
  <c r="R71" i="30"/>
  <c r="Q71" i="30"/>
  <c r="P71" i="30"/>
  <c r="K71" i="30"/>
  <c r="AK70" i="30"/>
  <c r="AJ70" i="30"/>
  <c r="AH70" i="30"/>
  <c r="AG70" i="30"/>
  <c r="AC70" i="30"/>
  <c r="Y70" i="30"/>
  <c r="X70" i="30"/>
  <c r="W70" i="30"/>
  <c r="V70" i="30"/>
  <c r="U70" i="30"/>
  <c r="T70" i="30"/>
  <c r="S70" i="30"/>
  <c r="R70" i="30"/>
  <c r="Q70" i="30"/>
  <c r="P70" i="30"/>
  <c r="K70" i="30"/>
  <c r="AK69" i="30"/>
  <c r="AJ69" i="30"/>
  <c r="AH69" i="30"/>
  <c r="AG69" i="30"/>
  <c r="AC69" i="30"/>
  <c r="Y69" i="30"/>
  <c r="X69" i="30"/>
  <c r="W69" i="30"/>
  <c r="V69" i="30"/>
  <c r="U69" i="30"/>
  <c r="T69" i="30"/>
  <c r="S69" i="30"/>
  <c r="R69" i="30"/>
  <c r="Q69" i="30"/>
  <c r="P69" i="30"/>
  <c r="K69" i="30"/>
  <c r="D69" i="30"/>
  <c r="AK68" i="30"/>
  <c r="AJ68" i="30"/>
  <c r="AH68" i="30"/>
  <c r="AG68" i="30"/>
  <c r="Y68" i="30"/>
  <c r="X68" i="30"/>
  <c r="W68" i="30"/>
  <c r="V68" i="30"/>
  <c r="U68" i="30"/>
  <c r="T68" i="30"/>
  <c r="S68" i="30"/>
  <c r="R68" i="30"/>
  <c r="Q68" i="30"/>
  <c r="P68" i="30"/>
  <c r="K68" i="30"/>
  <c r="D68" i="30"/>
  <c r="AK67" i="30"/>
  <c r="AJ67" i="30"/>
  <c r="AH67" i="30"/>
  <c r="AG67" i="30"/>
  <c r="D67" i="30"/>
  <c r="D66" i="30"/>
  <c r="D64" i="30"/>
  <c r="D63" i="30"/>
  <c r="E62" i="30"/>
  <c r="E61" i="30"/>
  <c r="E60" i="30"/>
  <c r="E59" i="30"/>
  <c r="D58" i="30"/>
  <c r="D56" i="30"/>
  <c r="D54" i="30"/>
  <c r="D53" i="30"/>
  <c r="E52" i="30"/>
  <c r="E51" i="30"/>
  <c r="E50" i="30"/>
  <c r="E49" i="30"/>
  <c r="D48" i="30"/>
  <c r="D46" i="30"/>
  <c r="D39" i="30"/>
  <c r="D38" i="30"/>
  <c r="D37" i="30"/>
  <c r="D36" i="30"/>
  <c r="D34" i="30"/>
  <c r="D33" i="30"/>
  <c r="D32" i="30"/>
  <c r="D31" i="30"/>
  <c r="L29" i="30"/>
  <c r="K29" i="30"/>
  <c r="J29" i="30"/>
  <c r="L28" i="30"/>
  <c r="K28" i="30"/>
  <c r="J28" i="30"/>
  <c r="D28" i="30"/>
  <c r="D27" i="30"/>
  <c r="D25" i="30"/>
  <c r="L24" i="30"/>
  <c r="K24" i="30"/>
  <c r="J24" i="30"/>
  <c r="L23" i="30"/>
  <c r="K23" i="30"/>
  <c r="J23" i="30"/>
  <c r="D21" i="30"/>
  <c r="L20" i="30"/>
  <c r="K20" i="30"/>
  <c r="J20" i="30"/>
  <c r="L19" i="30"/>
  <c r="K19" i="30"/>
  <c r="J19" i="30"/>
  <c r="D19" i="30"/>
  <c r="O15" i="30"/>
  <c r="L15" i="30"/>
  <c r="D15" i="30"/>
  <c r="D12" i="30"/>
  <c r="O11" i="30"/>
  <c r="L11" i="30"/>
  <c r="A92" i="13"/>
  <c r="G91" i="13"/>
  <c r="F91" i="13"/>
  <c r="E91" i="13"/>
  <c r="D91" i="13"/>
  <c r="D89" i="13"/>
  <c r="D88" i="13"/>
  <c r="D87" i="13"/>
  <c r="D86" i="13"/>
  <c r="D85" i="13"/>
  <c r="D84" i="13"/>
  <c r="A83" i="13"/>
  <c r="G82" i="13"/>
  <c r="F82" i="13"/>
  <c r="E82" i="13"/>
  <c r="D82" i="13"/>
  <c r="D80" i="13"/>
  <c r="BJ79" i="13"/>
  <c r="BI79" i="13"/>
  <c r="BH79" i="13"/>
  <c r="BG79" i="13"/>
  <c r="BF79" i="13"/>
  <c r="BE79" i="13"/>
  <c r="BD79" i="13"/>
  <c r="BC79" i="13"/>
  <c r="BB79" i="13"/>
  <c r="BA79" i="13"/>
  <c r="AZ79" i="13"/>
  <c r="AY79" i="13"/>
  <c r="AX79" i="13"/>
  <c r="AW79" i="13"/>
  <c r="AV79" i="13"/>
  <c r="AU79" i="13"/>
  <c r="AT79" i="13"/>
  <c r="AS79" i="13"/>
  <c r="AR79" i="13"/>
  <c r="AQ79" i="13"/>
  <c r="AP79" i="13"/>
  <c r="AO79" i="13"/>
  <c r="AN79" i="13"/>
  <c r="AM79" i="13"/>
  <c r="AL79" i="13"/>
  <c r="AK79" i="13"/>
  <c r="AJ79" i="13"/>
  <c r="AI79" i="13"/>
  <c r="AH79" i="13"/>
  <c r="AG79" i="13"/>
  <c r="AF79" i="13"/>
  <c r="AE79" i="13"/>
  <c r="AD79" i="13"/>
  <c r="AC79" i="13"/>
  <c r="AB79" i="13"/>
  <c r="AA79" i="13"/>
  <c r="Y78" i="13"/>
  <c r="X78" i="13"/>
  <c r="W78" i="13"/>
  <c r="V78" i="13"/>
  <c r="U78" i="13"/>
  <c r="T78" i="13"/>
  <c r="S78" i="13"/>
  <c r="R78" i="13"/>
  <c r="Q78" i="13"/>
  <c r="P78" i="13"/>
  <c r="K78" i="13"/>
  <c r="D78" i="13"/>
  <c r="AC77" i="13"/>
  <c r="AB77" i="13"/>
  <c r="Y77" i="13"/>
  <c r="X77" i="13"/>
  <c r="W77" i="13"/>
  <c r="V77" i="13"/>
  <c r="U77" i="13"/>
  <c r="T77" i="13"/>
  <c r="S77" i="13"/>
  <c r="R77" i="13"/>
  <c r="Q77" i="13"/>
  <c r="P77" i="13"/>
  <c r="K77" i="13"/>
  <c r="D77" i="13"/>
  <c r="Y76" i="13"/>
  <c r="X76" i="13"/>
  <c r="W76" i="13"/>
  <c r="V76" i="13"/>
  <c r="U76" i="13"/>
  <c r="T76" i="13"/>
  <c r="S76" i="13"/>
  <c r="R76" i="13"/>
  <c r="Q76" i="13"/>
  <c r="P76" i="13"/>
  <c r="K76" i="13"/>
  <c r="D76" i="13"/>
  <c r="Y75" i="13"/>
  <c r="X75" i="13"/>
  <c r="W75" i="13"/>
  <c r="V75" i="13"/>
  <c r="U75" i="13"/>
  <c r="T75" i="13"/>
  <c r="S75" i="13"/>
  <c r="R75" i="13"/>
  <c r="Q75" i="13"/>
  <c r="P75" i="13"/>
  <c r="K75" i="13"/>
  <c r="D75" i="13"/>
  <c r="Y74" i="13"/>
  <c r="X74" i="13"/>
  <c r="W74" i="13"/>
  <c r="V74" i="13"/>
  <c r="U74" i="13"/>
  <c r="T74" i="13"/>
  <c r="S74" i="13"/>
  <c r="R74" i="13"/>
  <c r="Q74" i="13"/>
  <c r="P74" i="13"/>
  <c r="K74" i="13"/>
  <c r="D74" i="13"/>
  <c r="Y73" i="13"/>
  <c r="X73" i="13"/>
  <c r="W73" i="13"/>
  <c r="V73" i="13"/>
  <c r="U73" i="13"/>
  <c r="T73" i="13"/>
  <c r="S73" i="13"/>
  <c r="R73" i="13"/>
  <c r="Q73" i="13"/>
  <c r="P73" i="13"/>
  <c r="K73" i="13"/>
  <c r="AC72" i="13"/>
  <c r="Y72" i="13"/>
  <c r="X72" i="13"/>
  <c r="W72" i="13"/>
  <c r="V72" i="13"/>
  <c r="U72" i="13"/>
  <c r="T72" i="13"/>
  <c r="S72" i="13"/>
  <c r="R72" i="13"/>
  <c r="Q72" i="13"/>
  <c r="P72" i="13"/>
  <c r="K72" i="13"/>
  <c r="AC71" i="13"/>
  <c r="Y71" i="13"/>
  <c r="X71" i="13"/>
  <c r="W71" i="13"/>
  <c r="V71" i="13"/>
  <c r="U71" i="13"/>
  <c r="T71" i="13"/>
  <c r="S71" i="13"/>
  <c r="R71" i="13"/>
  <c r="Q71" i="13"/>
  <c r="P71" i="13"/>
  <c r="K71" i="13"/>
  <c r="AK70" i="13"/>
  <c r="AJ70" i="13"/>
  <c r="AH70" i="13"/>
  <c r="AG70" i="13"/>
  <c r="AC70" i="13"/>
  <c r="Y70" i="13"/>
  <c r="X70" i="13"/>
  <c r="W70" i="13"/>
  <c r="V70" i="13"/>
  <c r="U70" i="13"/>
  <c r="T70" i="13"/>
  <c r="S70" i="13"/>
  <c r="R70" i="13"/>
  <c r="Q70" i="13"/>
  <c r="P70" i="13"/>
  <c r="K70" i="13"/>
  <c r="AK69" i="13"/>
  <c r="AJ69" i="13"/>
  <c r="AH69" i="13"/>
  <c r="AG69" i="13"/>
  <c r="AC69" i="13"/>
  <c r="Y69" i="13"/>
  <c r="X69" i="13"/>
  <c r="W69" i="13"/>
  <c r="V69" i="13"/>
  <c r="U69" i="13"/>
  <c r="T69" i="13"/>
  <c r="S69" i="13"/>
  <c r="R69" i="13"/>
  <c r="Q69" i="13"/>
  <c r="P69" i="13"/>
  <c r="K69" i="13"/>
  <c r="D69" i="13"/>
  <c r="AK68" i="13"/>
  <c r="AJ68" i="13"/>
  <c r="AH68" i="13"/>
  <c r="AG68" i="13"/>
  <c r="Y68" i="13"/>
  <c r="X68" i="13"/>
  <c r="W68" i="13"/>
  <c r="V68" i="13"/>
  <c r="U68" i="13"/>
  <c r="T68" i="13"/>
  <c r="S68" i="13"/>
  <c r="R68" i="13"/>
  <c r="Q68" i="13"/>
  <c r="P68" i="13"/>
  <c r="K68" i="13"/>
  <c r="D68" i="13"/>
  <c r="AK67" i="13"/>
  <c r="AJ67" i="13"/>
  <c r="AH67" i="13"/>
  <c r="AG67" i="13"/>
  <c r="D67" i="13"/>
  <c r="D66" i="13"/>
  <c r="D64" i="13"/>
  <c r="D63" i="13"/>
  <c r="E62" i="13"/>
  <c r="E61" i="13"/>
  <c r="E60" i="13"/>
  <c r="E59" i="13"/>
  <c r="D58" i="13"/>
  <c r="D56" i="13"/>
  <c r="D54" i="13"/>
  <c r="D53" i="13"/>
  <c r="E52" i="13"/>
  <c r="E51" i="13"/>
  <c r="E50" i="13"/>
  <c r="E49" i="13"/>
  <c r="D48" i="13"/>
  <c r="D46" i="13"/>
  <c r="D39" i="13"/>
  <c r="D38" i="13"/>
  <c r="D37" i="13"/>
  <c r="D36" i="13"/>
  <c r="D34" i="13"/>
  <c r="D33" i="13"/>
  <c r="D32" i="13"/>
  <c r="D31" i="13"/>
  <c r="L29" i="13"/>
  <c r="K29" i="13"/>
  <c r="J29" i="13"/>
  <c r="L28" i="13"/>
  <c r="K28" i="13"/>
  <c r="J28" i="13"/>
  <c r="D28" i="13"/>
  <c r="D27" i="13"/>
  <c r="D25" i="13"/>
  <c r="L24" i="13"/>
  <c r="K24" i="13"/>
  <c r="J24" i="13"/>
  <c r="L23" i="13"/>
  <c r="K23" i="13"/>
  <c r="J23" i="13"/>
  <c r="D23" i="13"/>
  <c r="D21" i="13"/>
  <c r="L20" i="13"/>
  <c r="K20" i="13"/>
  <c r="J20" i="13"/>
  <c r="L19" i="13"/>
  <c r="K19" i="13"/>
  <c r="J19" i="13"/>
  <c r="D19" i="13"/>
  <c r="O15" i="13"/>
  <c r="L15" i="13"/>
  <c r="D15" i="13"/>
  <c r="D12" i="13"/>
  <c r="O11" i="13"/>
  <c r="L11" i="13"/>
  <c r="AG27" i="12"/>
  <c r="AF27" i="12"/>
  <c r="AE27" i="12"/>
  <c r="AD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K27" i="12"/>
  <c r="J27" i="12"/>
  <c r="H27" i="12"/>
  <c r="G27" i="12"/>
  <c r="F27" i="12"/>
  <c r="E27" i="12"/>
  <c r="D27" i="12"/>
  <c r="AG26" i="12"/>
  <c r="AF26" i="12"/>
  <c r="AE26" i="12"/>
  <c r="AD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K26" i="12"/>
  <c r="J26" i="12"/>
  <c r="H26" i="12"/>
  <c r="G26" i="12"/>
  <c r="F26" i="12"/>
  <c r="E26" i="12"/>
  <c r="D26" i="12"/>
  <c r="AG25" i="12"/>
  <c r="AF25" i="12"/>
  <c r="AE25" i="12"/>
  <c r="AD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K25" i="12"/>
  <c r="J25" i="12"/>
  <c r="H25" i="12"/>
  <c r="G25" i="12"/>
  <c r="F25" i="12"/>
  <c r="E25" i="12"/>
  <c r="D25" i="12"/>
  <c r="AG24" i="12"/>
  <c r="AF24" i="12"/>
  <c r="AE24" i="12"/>
  <c r="AD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K24" i="12"/>
  <c r="J24" i="12"/>
  <c r="H24" i="12"/>
  <c r="G24" i="12"/>
  <c r="F24" i="12"/>
  <c r="E24" i="12"/>
  <c r="D24" i="12"/>
  <c r="AG23" i="12"/>
  <c r="AF23" i="12"/>
  <c r="AE23" i="12"/>
  <c r="AD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K23" i="12"/>
  <c r="J23" i="12"/>
  <c r="H23" i="12"/>
  <c r="G23" i="12"/>
  <c r="F23" i="12"/>
  <c r="E23" i="12"/>
  <c r="D23" i="12"/>
  <c r="C23" i="12"/>
  <c r="B23" i="12"/>
  <c r="AG22" i="12"/>
  <c r="AF22" i="12"/>
  <c r="AE22" i="12"/>
  <c r="AD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K22" i="12"/>
  <c r="J22" i="12"/>
  <c r="H22" i="12"/>
  <c r="G22" i="12"/>
  <c r="F22" i="12"/>
  <c r="E22" i="12"/>
  <c r="D22" i="12"/>
  <c r="C22" i="12"/>
  <c r="B22" i="12"/>
  <c r="AG21" i="12"/>
  <c r="AF21" i="12"/>
  <c r="AE21" i="12"/>
  <c r="AD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K21" i="12"/>
  <c r="J21" i="12"/>
  <c r="H21" i="12"/>
  <c r="G21" i="12"/>
  <c r="F21" i="12"/>
  <c r="E21" i="12"/>
  <c r="D21" i="12"/>
  <c r="C21" i="12"/>
  <c r="B21" i="12"/>
  <c r="AG20" i="12"/>
  <c r="AF20" i="12"/>
  <c r="AE20" i="12"/>
  <c r="AD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K20" i="12"/>
  <c r="J20" i="12"/>
  <c r="H20" i="12"/>
  <c r="G20" i="12"/>
  <c r="F20" i="12"/>
  <c r="E20" i="12"/>
  <c r="D20" i="12"/>
  <c r="C20" i="12"/>
  <c r="B20" i="12"/>
  <c r="AE15" i="12"/>
  <c r="AD15" i="12"/>
  <c r="AC15" i="12"/>
  <c r="AB15" i="12"/>
  <c r="AA15" i="12"/>
  <c r="Z15" i="12"/>
  <c r="Y15" i="12"/>
  <c r="X15" i="12"/>
  <c r="W15" i="12"/>
  <c r="AE14" i="12"/>
  <c r="AF13" i="12"/>
  <c r="AD13" i="12"/>
  <c r="AC13" i="12"/>
  <c r="AB13" i="12"/>
  <c r="AA13" i="12"/>
  <c r="Z13" i="12"/>
  <c r="Y13" i="12"/>
  <c r="X13" i="12"/>
  <c r="W13" i="12"/>
  <c r="V13" i="12"/>
  <c r="U13" i="12"/>
  <c r="T13" i="12"/>
  <c r="R13" i="12"/>
  <c r="Q13" i="12"/>
  <c r="O13" i="12"/>
  <c r="N13" i="12"/>
  <c r="I13" i="12"/>
  <c r="G13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R12" i="12"/>
  <c r="Q12" i="12"/>
  <c r="O12" i="12"/>
  <c r="N12" i="12"/>
  <c r="I12" i="12"/>
  <c r="G12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R11" i="12"/>
  <c r="Q11" i="12"/>
  <c r="O11" i="12"/>
  <c r="N11" i="12"/>
  <c r="I11" i="12"/>
  <c r="G11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R10" i="12"/>
  <c r="Q10" i="12"/>
  <c r="O10" i="12"/>
  <c r="N10" i="12"/>
  <c r="I10" i="12"/>
  <c r="G10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R8" i="12"/>
  <c r="Q8" i="12"/>
  <c r="O8" i="12"/>
  <c r="N8" i="12"/>
  <c r="I8" i="12"/>
  <c r="G8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R7" i="12"/>
  <c r="Q7" i="12"/>
  <c r="O7" i="12"/>
  <c r="N7" i="12"/>
  <c r="I7" i="12"/>
  <c r="G7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R6" i="12"/>
  <c r="Q6" i="12"/>
  <c r="O6" i="12"/>
  <c r="N6" i="12"/>
  <c r="I6" i="12"/>
  <c r="G6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R5" i="12"/>
  <c r="Q5" i="12"/>
  <c r="O5" i="12"/>
  <c r="N5" i="12"/>
  <c r="I5" i="12"/>
  <c r="G5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R4" i="12"/>
  <c r="Q4" i="12"/>
  <c r="O4" i="12"/>
  <c r="N4" i="12"/>
  <c r="I4" i="12"/>
  <c r="G4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R3" i="12"/>
  <c r="Q3" i="12"/>
  <c r="O3" i="12"/>
  <c r="N3" i="12"/>
  <c r="I3" i="12"/>
  <c r="G3" i="12"/>
  <c r="I25" i="10"/>
  <c r="F25" i="10"/>
  <c r="I24" i="10"/>
  <c r="F24" i="10"/>
  <c r="D24" i="10"/>
  <c r="I23" i="10"/>
  <c r="F23" i="10"/>
  <c r="F22" i="10"/>
  <c r="I21" i="10"/>
  <c r="F21" i="10"/>
  <c r="I20" i="10"/>
  <c r="F20" i="10"/>
  <c r="I17" i="10"/>
  <c r="F17" i="10"/>
  <c r="I16" i="10"/>
  <c r="F16" i="10"/>
  <c r="D16" i="10"/>
  <c r="I15" i="10"/>
  <c r="F15" i="10"/>
  <c r="F14" i="10"/>
  <c r="I13" i="10"/>
  <c r="F13" i="10"/>
  <c r="I12" i="10"/>
  <c r="F12" i="10"/>
  <c r="I9" i="10"/>
  <c r="F9" i="10"/>
  <c r="I8" i="10"/>
  <c r="F8" i="10"/>
  <c r="D8" i="10"/>
  <c r="I7" i="10"/>
  <c r="F7" i="10"/>
  <c r="F6" i="10"/>
  <c r="I5" i="10"/>
  <c r="F5" i="10"/>
  <c r="I4" i="10"/>
  <c r="F4" i="10"/>
  <c r="N41" i="9"/>
  <c r="K41" i="9"/>
  <c r="I41" i="9"/>
  <c r="H41" i="9"/>
  <c r="E41" i="9"/>
  <c r="Z40" i="9"/>
  <c r="W40" i="9"/>
  <c r="N40" i="9"/>
  <c r="K40" i="9"/>
  <c r="H40" i="9"/>
  <c r="E40" i="9"/>
  <c r="C40" i="9"/>
  <c r="A40" i="9"/>
  <c r="N39" i="9"/>
  <c r="K39" i="9"/>
  <c r="H39" i="9"/>
  <c r="E39" i="9"/>
  <c r="A39" i="9"/>
  <c r="Q38" i="9"/>
  <c r="N38" i="9"/>
  <c r="K38" i="9"/>
  <c r="E38" i="9"/>
  <c r="Q37" i="9"/>
  <c r="N37" i="9"/>
  <c r="K37" i="9"/>
  <c r="H37" i="9"/>
  <c r="E37" i="9"/>
  <c r="Y36" i="9"/>
  <c r="X36" i="9"/>
  <c r="W36" i="9"/>
  <c r="U36" i="9"/>
  <c r="S36" i="9"/>
  <c r="N36" i="9"/>
  <c r="K36" i="9"/>
  <c r="H36" i="9"/>
  <c r="E36" i="9"/>
  <c r="U35" i="9"/>
  <c r="S35" i="9"/>
  <c r="Q35" i="9"/>
  <c r="N35" i="9"/>
  <c r="K35" i="9"/>
  <c r="Z34" i="9"/>
  <c r="C34" i="9"/>
  <c r="Z33" i="9"/>
  <c r="N33" i="9"/>
  <c r="K33" i="9"/>
  <c r="I33" i="9"/>
  <c r="H33" i="9"/>
  <c r="E33" i="9"/>
  <c r="Z32" i="9"/>
  <c r="W32" i="9"/>
  <c r="N32" i="9"/>
  <c r="K32" i="9"/>
  <c r="H32" i="9"/>
  <c r="E32" i="9"/>
  <c r="C32" i="9"/>
  <c r="A32" i="9"/>
  <c r="AA31" i="9"/>
  <c r="Z31" i="9"/>
  <c r="N31" i="9"/>
  <c r="K31" i="9"/>
  <c r="H31" i="9"/>
  <c r="E31" i="9"/>
  <c r="A31" i="9"/>
  <c r="Q30" i="9"/>
  <c r="N30" i="9"/>
  <c r="K30" i="9"/>
  <c r="E30" i="9"/>
  <c r="Q29" i="9"/>
  <c r="N29" i="9"/>
  <c r="K29" i="9"/>
  <c r="H29" i="9"/>
  <c r="E29" i="9"/>
  <c r="Y28" i="9"/>
  <c r="X28" i="9"/>
  <c r="W28" i="9"/>
  <c r="U28" i="9"/>
  <c r="S28" i="9"/>
  <c r="N28" i="9"/>
  <c r="K28" i="9"/>
  <c r="H28" i="9"/>
  <c r="E28" i="9"/>
  <c r="U27" i="9"/>
  <c r="S27" i="9"/>
  <c r="Q27" i="9"/>
  <c r="N27" i="9"/>
  <c r="K27" i="9"/>
  <c r="C26" i="9"/>
  <c r="N25" i="9"/>
  <c r="K25" i="9"/>
  <c r="I25" i="9"/>
  <c r="H25" i="9"/>
  <c r="E25" i="9"/>
  <c r="N24" i="9"/>
  <c r="K24" i="9"/>
  <c r="H24" i="9"/>
  <c r="E24" i="9"/>
  <c r="C24" i="9"/>
  <c r="A24" i="9"/>
  <c r="N23" i="9"/>
  <c r="K23" i="9"/>
  <c r="H23" i="9"/>
  <c r="E23" i="9"/>
  <c r="A23" i="9"/>
  <c r="Q22" i="9"/>
  <c r="N22" i="9"/>
  <c r="K22" i="9"/>
  <c r="E22" i="9"/>
  <c r="Q21" i="9"/>
  <c r="N21" i="9"/>
  <c r="K21" i="9"/>
  <c r="H21" i="9"/>
  <c r="E21" i="9"/>
  <c r="Y20" i="9"/>
  <c r="X20" i="9"/>
  <c r="W20" i="9"/>
  <c r="U20" i="9"/>
  <c r="S20" i="9"/>
  <c r="N20" i="9"/>
  <c r="K20" i="9"/>
  <c r="H20" i="9"/>
  <c r="E20" i="9"/>
  <c r="U19" i="9"/>
  <c r="S19" i="9"/>
  <c r="Q19" i="9"/>
  <c r="N19" i="9"/>
  <c r="K19" i="9"/>
  <c r="C18" i="9"/>
  <c r="N17" i="9"/>
  <c r="K17" i="9"/>
  <c r="I17" i="9"/>
  <c r="H17" i="9"/>
  <c r="E17" i="9"/>
  <c r="Z16" i="9"/>
  <c r="W16" i="9"/>
  <c r="N16" i="9"/>
  <c r="K16" i="9"/>
  <c r="H16" i="9"/>
  <c r="E16" i="9"/>
  <c r="C16" i="9"/>
  <c r="A16" i="9"/>
  <c r="N15" i="9"/>
  <c r="K15" i="9"/>
  <c r="H15" i="9"/>
  <c r="E15" i="9"/>
  <c r="A15" i="9"/>
  <c r="Q14" i="9"/>
  <c r="N14" i="9"/>
  <c r="K14" i="9"/>
  <c r="E14" i="9"/>
  <c r="Q13" i="9"/>
  <c r="N13" i="9"/>
  <c r="K13" i="9"/>
  <c r="H13" i="9"/>
  <c r="E13" i="9"/>
  <c r="Y12" i="9"/>
  <c r="X12" i="9"/>
  <c r="W12" i="9"/>
  <c r="U12" i="9"/>
  <c r="S12" i="9"/>
  <c r="N12" i="9"/>
  <c r="K12" i="9"/>
  <c r="H12" i="9"/>
  <c r="E12" i="9"/>
  <c r="U11" i="9"/>
  <c r="S11" i="9"/>
  <c r="Q11" i="9"/>
  <c r="N11" i="9"/>
  <c r="K11" i="9"/>
  <c r="Z10" i="9"/>
  <c r="C10" i="9"/>
  <c r="Z9" i="9"/>
  <c r="N9" i="9"/>
  <c r="K9" i="9"/>
  <c r="I9" i="9"/>
  <c r="H9" i="9"/>
  <c r="E9" i="9"/>
  <c r="Z8" i="9"/>
  <c r="W8" i="9"/>
  <c r="N8" i="9"/>
  <c r="K8" i="9"/>
  <c r="H8" i="9"/>
  <c r="E8" i="9"/>
  <c r="C8" i="9"/>
  <c r="A8" i="9"/>
  <c r="AA7" i="9"/>
  <c r="Z7" i="9"/>
  <c r="N7" i="9"/>
  <c r="K7" i="9"/>
  <c r="H7" i="9"/>
  <c r="E7" i="9"/>
  <c r="A7" i="9"/>
  <c r="Q6" i="9"/>
  <c r="N6" i="9"/>
  <c r="K6" i="9"/>
  <c r="E6" i="9"/>
  <c r="Q5" i="9"/>
  <c r="N5" i="9"/>
  <c r="K5" i="9"/>
  <c r="H5" i="9"/>
  <c r="E5" i="9"/>
  <c r="Y4" i="9"/>
  <c r="X4" i="9"/>
  <c r="W4" i="9"/>
  <c r="U4" i="9"/>
  <c r="S4" i="9"/>
  <c r="N4" i="9"/>
  <c r="K4" i="9"/>
  <c r="H4" i="9"/>
  <c r="E4" i="9"/>
  <c r="U3" i="9"/>
  <c r="S3" i="9"/>
  <c r="Q3" i="9"/>
  <c r="N3" i="9"/>
  <c r="K3" i="9"/>
  <c r="C2" i="9"/>
  <c r="E9" i="7"/>
  <c r="E4" i="7"/>
  <c r="C28" i="5"/>
  <c r="C27" i="5"/>
  <c r="C22" i="5"/>
  <c r="C21" i="5"/>
  <c r="C20" i="5"/>
  <c r="C19" i="5"/>
  <c r="C18" i="5"/>
  <c r="B8" i="5"/>
  <c r="E5" i="5"/>
  <c r="E4" i="5"/>
  <c r="C58" i="3"/>
  <c r="C57" i="3"/>
  <c r="C56" i="3"/>
  <c r="D55" i="3"/>
  <c r="D54" i="3"/>
  <c r="C51" i="3"/>
  <c r="C49" i="3"/>
  <c r="D48" i="3"/>
  <c r="C48" i="3"/>
  <c r="B48" i="3"/>
  <c r="D47" i="3"/>
  <c r="D46" i="3"/>
  <c r="D45" i="3"/>
  <c r="C44" i="3"/>
  <c r="C43" i="3"/>
  <c r="C37" i="3"/>
  <c r="F36" i="3"/>
  <c r="C36" i="3"/>
  <c r="D35" i="3"/>
  <c r="C34" i="3"/>
  <c r="D33" i="3"/>
  <c r="C32" i="3"/>
  <c r="C30" i="3"/>
  <c r="C27" i="3"/>
  <c r="C26" i="3"/>
  <c r="C25" i="3"/>
  <c r="W24" i="3"/>
  <c r="V24" i="3"/>
  <c r="U24" i="3"/>
  <c r="D24" i="3"/>
  <c r="W23" i="3"/>
  <c r="V23" i="3"/>
  <c r="U23" i="3"/>
  <c r="W22" i="3"/>
  <c r="V22" i="3"/>
  <c r="U22" i="3"/>
  <c r="D22" i="3"/>
  <c r="W21" i="3"/>
  <c r="V21" i="3"/>
  <c r="U21" i="3"/>
  <c r="W20" i="3"/>
  <c r="V20" i="3"/>
  <c r="U20" i="3"/>
  <c r="C20" i="3"/>
  <c r="W19" i="3"/>
  <c r="V19" i="3"/>
  <c r="U19" i="3"/>
  <c r="W18" i="3"/>
  <c r="V18" i="3"/>
  <c r="U18" i="3"/>
  <c r="W17" i="3"/>
  <c r="V17" i="3"/>
  <c r="U17" i="3"/>
  <c r="E17" i="3"/>
  <c r="C17" i="3"/>
  <c r="W16" i="3"/>
  <c r="V16" i="3"/>
  <c r="U16" i="3"/>
  <c r="D16" i="3"/>
  <c r="AA15" i="3"/>
  <c r="Z15" i="3"/>
  <c r="Y15" i="3"/>
  <c r="W15" i="3"/>
  <c r="V15" i="3"/>
  <c r="U15" i="3"/>
  <c r="W14" i="3"/>
  <c r="V14" i="3"/>
  <c r="U14" i="3"/>
  <c r="D14" i="3"/>
  <c r="W13" i="3"/>
  <c r="V13" i="3"/>
  <c r="U13" i="3"/>
  <c r="D13" i="3"/>
  <c r="W12" i="3"/>
  <c r="V12" i="3"/>
  <c r="U12" i="3"/>
  <c r="W11" i="3"/>
  <c r="V11" i="3"/>
  <c r="U11" i="3"/>
  <c r="W10" i="3"/>
  <c r="V10" i="3"/>
  <c r="U10" i="3"/>
  <c r="AD9" i="3"/>
  <c r="AC9" i="3"/>
  <c r="AB9" i="3"/>
  <c r="W9" i="3"/>
  <c r="V9" i="3"/>
  <c r="U9" i="3"/>
  <c r="W8" i="3"/>
  <c r="V8" i="3"/>
  <c r="U8" i="3"/>
  <c r="W7" i="3"/>
  <c r="V7" i="3"/>
  <c r="U7" i="3"/>
  <c r="W6" i="3"/>
  <c r="V6" i="3"/>
  <c r="U6" i="3"/>
  <c r="Z86" i="21"/>
  <c r="Y86" i="21"/>
  <c r="X86" i="21"/>
  <c r="W86" i="21"/>
  <c r="V86" i="21"/>
  <c r="U86" i="21"/>
  <c r="S86" i="21"/>
  <c r="P86" i="21"/>
  <c r="M86" i="21"/>
  <c r="I86" i="21"/>
  <c r="Z85" i="21"/>
  <c r="Y85" i="21"/>
  <c r="X85" i="21"/>
  <c r="W85" i="21"/>
  <c r="V85" i="21"/>
  <c r="U85" i="21"/>
  <c r="S85" i="21"/>
  <c r="P85" i="21"/>
  <c r="M85" i="21"/>
  <c r="I85" i="21"/>
  <c r="Z84" i="21"/>
  <c r="Y84" i="21"/>
  <c r="X84" i="21"/>
  <c r="W84" i="21"/>
  <c r="V84" i="21"/>
  <c r="U84" i="21"/>
  <c r="S84" i="21"/>
  <c r="P84" i="21"/>
  <c r="M84" i="21"/>
  <c r="I84" i="21"/>
  <c r="Z83" i="21"/>
  <c r="Y83" i="21"/>
  <c r="X83" i="21"/>
  <c r="W83" i="21"/>
  <c r="V83" i="21"/>
  <c r="U83" i="21"/>
  <c r="S83" i="21"/>
  <c r="P83" i="21"/>
  <c r="M83" i="21"/>
  <c r="I83" i="21"/>
  <c r="Z82" i="21"/>
  <c r="Y82" i="21"/>
  <c r="X82" i="21"/>
  <c r="W82" i="21"/>
  <c r="V82" i="21"/>
  <c r="U82" i="21"/>
  <c r="S82" i="21"/>
  <c r="P82" i="21"/>
  <c r="M82" i="21"/>
  <c r="I82" i="21"/>
  <c r="Z81" i="21"/>
  <c r="Y81" i="21"/>
  <c r="X81" i="21"/>
  <c r="W81" i="21"/>
  <c r="V81" i="21"/>
  <c r="U81" i="21"/>
  <c r="S81" i="21"/>
  <c r="P81" i="21"/>
  <c r="M81" i="21"/>
  <c r="I81" i="21"/>
  <c r="Z80" i="21"/>
  <c r="Y80" i="21"/>
  <c r="X80" i="21"/>
  <c r="W80" i="21"/>
  <c r="V80" i="21"/>
  <c r="U80" i="21"/>
  <c r="S80" i="21"/>
  <c r="P80" i="21"/>
  <c r="M80" i="21"/>
  <c r="I80" i="21"/>
  <c r="Z79" i="21"/>
  <c r="Y79" i="21"/>
  <c r="X79" i="21"/>
  <c r="W79" i="21"/>
  <c r="V79" i="21"/>
  <c r="U79" i="21"/>
  <c r="S79" i="21"/>
  <c r="P79" i="21"/>
  <c r="M79" i="21"/>
  <c r="I79" i="21"/>
  <c r="Z78" i="21"/>
  <c r="Y78" i="21"/>
  <c r="X78" i="21"/>
  <c r="W78" i="21"/>
  <c r="V78" i="21"/>
  <c r="U78" i="21"/>
  <c r="S78" i="21"/>
  <c r="P78" i="21"/>
  <c r="M78" i="21"/>
  <c r="I78" i="21"/>
  <c r="Z77" i="21"/>
  <c r="Y77" i="21"/>
  <c r="X77" i="21"/>
  <c r="W77" i="21"/>
  <c r="V77" i="21"/>
  <c r="U77" i="21"/>
  <c r="S77" i="21"/>
  <c r="P77" i="21"/>
  <c r="M77" i="21"/>
  <c r="I77" i="21"/>
  <c r="Z76" i="21"/>
  <c r="Y76" i="21"/>
  <c r="X76" i="21"/>
  <c r="W76" i="21"/>
  <c r="V76" i="21"/>
  <c r="U76" i="21"/>
  <c r="S76" i="21"/>
  <c r="P76" i="21"/>
  <c r="M76" i="21"/>
  <c r="I76" i="21"/>
  <c r="Z75" i="21"/>
  <c r="Y75" i="21"/>
  <c r="X75" i="21"/>
  <c r="W75" i="21"/>
  <c r="V75" i="21"/>
  <c r="U75" i="21"/>
  <c r="S75" i="21"/>
  <c r="P75" i="21"/>
  <c r="M75" i="21"/>
  <c r="I75" i="21"/>
  <c r="Z74" i="21"/>
  <c r="Y74" i="21"/>
  <c r="X74" i="21"/>
  <c r="W74" i="21"/>
  <c r="V74" i="21"/>
  <c r="U74" i="21"/>
  <c r="S74" i="21"/>
  <c r="P74" i="21"/>
  <c r="M74" i="21"/>
  <c r="I74" i="21"/>
  <c r="Z70" i="21"/>
  <c r="Y70" i="21"/>
  <c r="X70" i="21"/>
  <c r="W70" i="21"/>
  <c r="V70" i="21"/>
  <c r="U70" i="21"/>
  <c r="P70" i="21"/>
  <c r="M70" i="21"/>
  <c r="Z69" i="21"/>
  <c r="Y69" i="21"/>
  <c r="X69" i="21"/>
  <c r="W69" i="21"/>
  <c r="V69" i="21"/>
  <c r="U69" i="21"/>
  <c r="P69" i="21"/>
  <c r="M69" i="21"/>
  <c r="Z68" i="21"/>
  <c r="Y68" i="21"/>
  <c r="X68" i="21"/>
  <c r="W68" i="21"/>
  <c r="V68" i="21"/>
  <c r="U68" i="21"/>
  <c r="P68" i="21"/>
  <c r="M68" i="21"/>
  <c r="Z67" i="21"/>
  <c r="Y67" i="21"/>
  <c r="X67" i="21"/>
  <c r="W67" i="21"/>
  <c r="V67" i="21"/>
  <c r="U67" i="21"/>
  <c r="P67" i="21"/>
  <c r="M67" i="21"/>
  <c r="Z66" i="21"/>
  <c r="Y66" i="21"/>
  <c r="X66" i="21"/>
  <c r="W66" i="21"/>
  <c r="V66" i="21"/>
  <c r="U66" i="21"/>
  <c r="P66" i="21"/>
  <c r="M66" i="21"/>
  <c r="Z65" i="21"/>
  <c r="Y65" i="21"/>
  <c r="X65" i="21"/>
  <c r="W65" i="21"/>
  <c r="V65" i="21"/>
  <c r="U65" i="21"/>
  <c r="P65" i="21"/>
  <c r="M65" i="21"/>
  <c r="Z64" i="21"/>
  <c r="Y64" i="21"/>
  <c r="X64" i="21"/>
  <c r="W64" i="21"/>
  <c r="V64" i="21"/>
  <c r="U64" i="21"/>
  <c r="P64" i="21"/>
  <c r="M64" i="21"/>
  <c r="Z63" i="21"/>
  <c r="Y63" i="21"/>
  <c r="X63" i="21"/>
  <c r="W63" i="21"/>
  <c r="V63" i="21"/>
  <c r="U63" i="21"/>
  <c r="P63" i="21"/>
  <c r="M63" i="21"/>
  <c r="Z62" i="21"/>
  <c r="Y62" i="21"/>
  <c r="X62" i="21"/>
  <c r="W62" i="21"/>
  <c r="V62" i="21"/>
  <c r="U62" i="21"/>
  <c r="P62" i="21"/>
  <c r="M62" i="21"/>
  <c r="Z61" i="21"/>
  <c r="Y61" i="21"/>
  <c r="X61" i="21"/>
  <c r="W61" i="21"/>
  <c r="V61" i="21"/>
  <c r="U61" i="21"/>
  <c r="P61" i="21"/>
  <c r="M61" i="21"/>
  <c r="Z60" i="21"/>
  <c r="Y60" i="21"/>
  <c r="X60" i="21"/>
  <c r="W60" i="21"/>
  <c r="V60" i="21"/>
  <c r="U60" i="21"/>
  <c r="P60" i="21"/>
  <c r="M60" i="21"/>
  <c r="Z59" i="21"/>
  <c r="Y59" i="21"/>
  <c r="X59" i="21"/>
  <c r="W59" i="21"/>
  <c r="V59" i="21"/>
  <c r="U59" i="21"/>
  <c r="P59" i="21"/>
  <c r="M59" i="21"/>
  <c r="Z58" i="21"/>
  <c r="Y58" i="21"/>
  <c r="X58" i="21"/>
  <c r="W58" i="21"/>
  <c r="V58" i="21"/>
  <c r="U58" i="21"/>
  <c r="P58" i="21"/>
  <c r="M58" i="21"/>
  <c r="H51" i="21"/>
  <c r="G51" i="21"/>
  <c r="F51" i="21"/>
  <c r="E51" i="21"/>
  <c r="D51" i="21"/>
  <c r="C51" i="21"/>
  <c r="B51" i="21"/>
  <c r="H50" i="21"/>
  <c r="G50" i="21"/>
  <c r="F50" i="21"/>
  <c r="E50" i="21"/>
  <c r="D50" i="21"/>
  <c r="C50" i="21"/>
  <c r="B50" i="21"/>
  <c r="H49" i="21"/>
  <c r="G49" i="21"/>
  <c r="F49" i="21"/>
  <c r="E49" i="21"/>
  <c r="D49" i="21"/>
  <c r="C49" i="21"/>
  <c r="B49" i="21"/>
  <c r="H48" i="21"/>
  <c r="G48" i="21"/>
  <c r="F48" i="21"/>
  <c r="E48" i="21"/>
  <c r="D48" i="21"/>
  <c r="C48" i="21"/>
  <c r="B48" i="21"/>
  <c r="H47" i="21"/>
  <c r="G47" i="21"/>
  <c r="F47" i="21"/>
  <c r="E47" i="21"/>
  <c r="D47" i="21"/>
  <c r="C47" i="21"/>
  <c r="B47" i="21"/>
  <c r="H46" i="21"/>
  <c r="G46" i="21"/>
  <c r="F46" i="21"/>
  <c r="E46" i="21"/>
  <c r="D46" i="21"/>
  <c r="C46" i="21"/>
  <c r="B46" i="21"/>
  <c r="H45" i="21"/>
  <c r="G45" i="21"/>
  <c r="F45" i="21"/>
  <c r="E45" i="21"/>
  <c r="D45" i="21"/>
  <c r="C45" i="21"/>
  <c r="B45" i="21"/>
  <c r="H44" i="21"/>
  <c r="G44" i="21"/>
  <c r="F44" i="21"/>
  <c r="E44" i="21"/>
  <c r="D44" i="21"/>
  <c r="C44" i="21"/>
  <c r="B44" i="21"/>
  <c r="H43" i="21"/>
  <c r="G43" i="21"/>
  <c r="F43" i="21"/>
  <c r="E43" i="21"/>
  <c r="D43" i="21"/>
  <c r="C43" i="21"/>
  <c r="B43" i="21"/>
  <c r="H42" i="21"/>
  <c r="G42" i="21"/>
  <c r="F42" i="21"/>
  <c r="E42" i="21"/>
  <c r="D42" i="21"/>
  <c r="C42" i="21"/>
  <c r="B42" i="21"/>
  <c r="H41" i="21"/>
  <c r="G41" i="21"/>
  <c r="F41" i="21"/>
  <c r="E41" i="21"/>
  <c r="D41" i="21"/>
  <c r="C41" i="21"/>
  <c r="B41" i="21"/>
  <c r="H40" i="21"/>
  <c r="G40" i="21"/>
  <c r="F40" i="21"/>
  <c r="E40" i="21"/>
  <c r="D40" i="21"/>
  <c r="C40" i="21"/>
  <c r="B40" i="21"/>
  <c r="H39" i="21"/>
  <c r="G39" i="21"/>
  <c r="F39" i="21"/>
  <c r="E39" i="21"/>
  <c r="D39" i="21"/>
  <c r="C39" i="21"/>
  <c r="B39" i="21"/>
  <c r="H38" i="21"/>
  <c r="G38" i="21"/>
  <c r="F38" i="21"/>
  <c r="E38" i="21"/>
  <c r="D38" i="21"/>
  <c r="C38" i="21"/>
  <c r="B38" i="21"/>
  <c r="H37" i="21"/>
  <c r="G37" i="21"/>
  <c r="F37" i="21"/>
  <c r="E37" i="21"/>
  <c r="D37" i="21"/>
  <c r="C37" i="21"/>
  <c r="B37" i="21"/>
  <c r="H36" i="21"/>
  <c r="G36" i="21"/>
  <c r="F36" i="21"/>
  <c r="E36" i="21"/>
  <c r="D36" i="21"/>
  <c r="C36" i="21"/>
  <c r="B36" i="21"/>
  <c r="E35" i="21"/>
  <c r="E34" i="21"/>
  <c r="H31" i="21"/>
  <c r="G31" i="21"/>
  <c r="F31" i="21"/>
  <c r="E31" i="21"/>
  <c r="D31" i="21"/>
  <c r="C31" i="21"/>
  <c r="B31" i="21"/>
  <c r="H30" i="21"/>
  <c r="G30" i="21"/>
  <c r="F30" i="21"/>
  <c r="E30" i="21"/>
  <c r="D30" i="21"/>
  <c r="C30" i="21"/>
  <c r="B30" i="21"/>
  <c r="H29" i="21"/>
  <c r="G29" i="21"/>
  <c r="F29" i="21"/>
  <c r="E29" i="21"/>
  <c r="D29" i="21"/>
  <c r="C29" i="21"/>
  <c r="B29" i="21"/>
  <c r="H28" i="21"/>
  <c r="G28" i="21"/>
  <c r="F28" i="21"/>
  <c r="E28" i="21"/>
  <c r="D28" i="21"/>
  <c r="C28" i="21"/>
  <c r="B28" i="21"/>
  <c r="H27" i="21"/>
  <c r="G27" i="21"/>
  <c r="F27" i="21"/>
  <c r="E27" i="21"/>
  <c r="D27" i="21"/>
  <c r="C27" i="21"/>
  <c r="B27" i="21"/>
  <c r="H26" i="21"/>
  <c r="G26" i="21"/>
  <c r="F26" i="21"/>
  <c r="E26" i="21"/>
  <c r="D26" i="21"/>
  <c r="C26" i="21"/>
  <c r="B26" i="21"/>
  <c r="H25" i="21"/>
  <c r="G25" i="21"/>
  <c r="F25" i="21"/>
  <c r="E25" i="21"/>
  <c r="D25" i="21"/>
  <c r="C25" i="21"/>
  <c r="B25" i="21"/>
  <c r="H24" i="21"/>
  <c r="G24" i="21"/>
  <c r="F24" i="21"/>
  <c r="E24" i="21"/>
  <c r="D24" i="21"/>
  <c r="C24" i="21"/>
  <c r="B24" i="21"/>
  <c r="H23" i="21"/>
  <c r="G23" i="21"/>
  <c r="F23" i="21"/>
  <c r="E23" i="21"/>
  <c r="D23" i="21"/>
  <c r="C23" i="21"/>
  <c r="B23" i="21"/>
  <c r="H22" i="21"/>
  <c r="G22" i="21"/>
  <c r="F22" i="21"/>
  <c r="E22" i="21"/>
  <c r="D22" i="21"/>
  <c r="C22" i="21"/>
  <c r="B22" i="21"/>
  <c r="H21" i="21"/>
  <c r="G21" i="21"/>
  <c r="F21" i="21"/>
  <c r="E21" i="21"/>
  <c r="D21" i="21"/>
  <c r="C21" i="21"/>
  <c r="B21" i="21"/>
  <c r="H20" i="21"/>
  <c r="G20" i="21"/>
  <c r="F20" i="21"/>
  <c r="E20" i="21"/>
  <c r="D20" i="21"/>
  <c r="C20" i="21"/>
  <c r="B20" i="21"/>
  <c r="H19" i="21"/>
  <c r="G19" i="21"/>
  <c r="F19" i="21"/>
  <c r="E19" i="21"/>
  <c r="D19" i="21"/>
  <c r="C19" i="21"/>
  <c r="B19" i="21"/>
  <c r="H18" i="21"/>
  <c r="G18" i="21"/>
  <c r="F18" i="21"/>
  <c r="E18" i="21"/>
  <c r="D18" i="21"/>
  <c r="C18" i="21"/>
  <c r="B18" i="21"/>
  <c r="BE17" i="21"/>
  <c r="BD17" i="21"/>
  <c r="AZ17" i="21"/>
  <c r="AY17" i="21"/>
  <c r="AX17" i="21"/>
  <c r="AW17" i="21"/>
  <c r="AV17" i="21"/>
  <c r="AU17" i="21"/>
  <c r="AT17" i="21"/>
  <c r="AS17" i="21"/>
  <c r="AR17" i="21"/>
  <c r="AP17" i="21"/>
  <c r="AO17" i="21"/>
  <c r="AN17" i="21"/>
  <c r="AM17" i="21"/>
  <c r="AL17" i="21"/>
  <c r="AK17" i="21"/>
  <c r="BE16" i="21"/>
  <c r="BD16" i="21"/>
  <c r="AZ16" i="21"/>
  <c r="AY16" i="21"/>
  <c r="AX16" i="21"/>
  <c r="AW16" i="21"/>
  <c r="AV16" i="21"/>
  <c r="AU16" i="21"/>
  <c r="AT16" i="21"/>
  <c r="AS16" i="21"/>
  <c r="AR16" i="21"/>
  <c r="AP16" i="21"/>
  <c r="AO16" i="21"/>
  <c r="AN16" i="21"/>
  <c r="AM16" i="21"/>
  <c r="AL16" i="21"/>
  <c r="AK16" i="21"/>
  <c r="BE15" i="21"/>
  <c r="BD15" i="21"/>
  <c r="AZ15" i="21"/>
  <c r="AY15" i="21"/>
  <c r="AX15" i="21"/>
  <c r="AW15" i="21"/>
  <c r="AV15" i="21"/>
  <c r="AU15" i="21"/>
  <c r="AT15" i="21"/>
  <c r="AS15" i="21"/>
  <c r="AR15" i="21"/>
  <c r="AP15" i="21"/>
  <c r="AO15" i="21"/>
  <c r="AN15" i="21"/>
  <c r="AM15" i="21"/>
  <c r="AL15" i="21"/>
  <c r="AK15" i="21"/>
  <c r="BE14" i="21"/>
  <c r="BD14" i="21"/>
  <c r="AZ14" i="21"/>
  <c r="AY14" i="21"/>
  <c r="AX14" i="21"/>
  <c r="AW14" i="21"/>
  <c r="AV14" i="21"/>
  <c r="AU14" i="21"/>
  <c r="AT14" i="21"/>
  <c r="AS14" i="21"/>
  <c r="AR14" i="21"/>
  <c r="AP14" i="21"/>
  <c r="AO14" i="21"/>
  <c r="AN14" i="21"/>
  <c r="AM14" i="21"/>
  <c r="AL14" i="21"/>
  <c r="AK14" i="21"/>
  <c r="BE13" i="21"/>
  <c r="BD13" i="21"/>
  <c r="AZ13" i="21"/>
  <c r="AY13" i="21"/>
  <c r="AX13" i="21"/>
  <c r="AW13" i="21"/>
  <c r="AV13" i="21"/>
  <c r="AU13" i="21"/>
  <c r="AT13" i="21"/>
  <c r="AS13" i="21"/>
  <c r="AR13" i="21"/>
  <c r="AP13" i="21"/>
  <c r="AO13" i="21"/>
  <c r="AN13" i="21"/>
  <c r="AM13" i="21"/>
  <c r="AL13" i="21"/>
  <c r="AK13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B10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V8" i="21"/>
  <c r="AU8" i="21"/>
  <c r="AT8" i="21"/>
  <c r="AS8" i="21"/>
  <c r="AR8" i="21"/>
  <c r="AQ8" i="21"/>
  <c r="AP8" i="21"/>
  <c r="AO8" i="21"/>
  <c r="AN8" i="21"/>
  <c r="AM8" i="21"/>
  <c r="AL8" i="21"/>
  <c r="AK8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V5" i="21"/>
  <c r="AU5" i="21"/>
  <c r="AT5" i="21"/>
  <c r="AS5" i="21"/>
  <c r="AR5" i="21"/>
  <c r="AQ5" i="21"/>
  <c r="AP5" i="21"/>
  <c r="AO5" i="21"/>
  <c r="AN5" i="21"/>
  <c r="AM5" i="21"/>
  <c r="AL5" i="21"/>
  <c r="AK5" i="21"/>
  <c r="H256" i="17"/>
  <c r="G256" i="17"/>
  <c r="F256" i="17"/>
  <c r="E256" i="17"/>
  <c r="D256" i="17"/>
  <c r="C256" i="17"/>
  <c r="B256" i="17"/>
  <c r="H255" i="17"/>
  <c r="G255" i="17"/>
  <c r="F255" i="17"/>
  <c r="E255" i="17"/>
  <c r="D255" i="17"/>
  <c r="C255" i="17"/>
  <c r="B255" i="17"/>
  <c r="H254" i="17"/>
  <c r="G254" i="17"/>
  <c r="F254" i="17"/>
  <c r="E254" i="17"/>
  <c r="D254" i="17"/>
  <c r="C254" i="17"/>
  <c r="B254" i="17"/>
  <c r="H253" i="17"/>
  <c r="G253" i="17"/>
  <c r="F253" i="17"/>
  <c r="E253" i="17"/>
  <c r="D253" i="17"/>
  <c r="C253" i="17"/>
  <c r="B253" i="17"/>
  <c r="H252" i="17"/>
  <c r="G252" i="17"/>
  <c r="F252" i="17"/>
  <c r="E252" i="17"/>
  <c r="D252" i="17"/>
  <c r="C252" i="17"/>
  <c r="B252" i="17"/>
  <c r="H251" i="17"/>
  <c r="G251" i="17"/>
  <c r="F251" i="17"/>
  <c r="E251" i="17"/>
  <c r="D251" i="17"/>
  <c r="C251" i="17"/>
  <c r="B251" i="17"/>
  <c r="H250" i="17"/>
  <c r="G250" i="17"/>
  <c r="F250" i="17"/>
  <c r="E250" i="17"/>
  <c r="D250" i="17"/>
  <c r="C250" i="17"/>
  <c r="B250" i="17"/>
  <c r="H249" i="17"/>
  <c r="G249" i="17"/>
  <c r="F249" i="17"/>
  <c r="E249" i="17"/>
  <c r="D249" i="17"/>
  <c r="C249" i="17"/>
  <c r="B249" i="17"/>
  <c r="H248" i="17"/>
  <c r="G248" i="17"/>
  <c r="F248" i="17"/>
  <c r="E248" i="17"/>
  <c r="D248" i="17"/>
  <c r="C248" i="17"/>
  <c r="B248" i="17"/>
  <c r="H247" i="17"/>
  <c r="G247" i="17"/>
  <c r="F247" i="17"/>
  <c r="E247" i="17"/>
  <c r="D247" i="17"/>
  <c r="C247" i="17"/>
  <c r="B247" i="17"/>
  <c r="H246" i="17"/>
  <c r="G246" i="17"/>
  <c r="F246" i="17"/>
  <c r="E246" i="17"/>
  <c r="D246" i="17"/>
  <c r="C246" i="17"/>
  <c r="B246" i="17"/>
  <c r="H245" i="17"/>
  <c r="G245" i="17"/>
  <c r="F245" i="17"/>
  <c r="E245" i="17"/>
  <c r="D245" i="17"/>
  <c r="C245" i="17"/>
  <c r="B245" i="17"/>
  <c r="H244" i="17"/>
  <c r="G244" i="17"/>
  <c r="F244" i="17"/>
  <c r="E244" i="17"/>
  <c r="D244" i="17"/>
  <c r="C244" i="17"/>
  <c r="B244" i="17"/>
  <c r="H243" i="17"/>
  <c r="G243" i="17"/>
  <c r="F243" i="17"/>
  <c r="E243" i="17"/>
  <c r="D243" i="17"/>
  <c r="C243" i="17"/>
  <c r="B243" i="17"/>
  <c r="H241" i="17"/>
  <c r="G241" i="17"/>
  <c r="F241" i="17"/>
  <c r="E241" i="17"/>
  <c r="D241" i="17"/>
  <c r="C241" i="17"/>
  <c r="B241" i="17"/>
  <c r="H240" i="17"/>
  <c r="G240" i="17"/>
  <c r="F240" i="17"/>
  <c r="E240" i="17"/>
  <c r="D240" i="17"/>
  <c r="C240" i="17"/>
  <c r="B240" i="17"/>
  <c r="H239" i="17"/>
  <c r="G239" i="17"/>
  <c r="F239" i="17"/>
  <c r="E239" i="17"/>
  <c r="D239" i="17"/>
  <c r="C239" i="17"/>
  <c r="B239" i="17"/>
  <c r="H238" i="17"/>
  <c r="G238" i="17"/>
  <c r="F238" i="17"/>
  <c r="E238" i="17"/>
  <c r="D238" i="17"/>
  <c r="C238" i="17"/>
  <c r="B238" i="17"/>
  <c r="H236" i="17"/>
  <c r="G236" i="17"/>
  <c r="F236" i="17"/>
  <c r="E236" i="17"/>
  <c r="D236" i="17"/>
  <c r="C236" i="17"/>
  <c r="B236" i="17"/>
  <c r="H235" i="17"/>
  <c r="G235" i="17"/>
  <c r="F235" i="17"/>
  <c r="E235" i="17"/>
  <c r="D235" i="17"/>
  <c r="C235" i="17"/>
  <c r="B235" i="17"/>
  <c r="H234" i="17"/>
  <c r="G234" i="17"/>
  <c r="F234" i="17"/>
  <c r="E234" i="17"/>
  <c r="D234" i="17"/>
  <c r="C234" i="17"/>
  <c r="B234" i="17"/>
  <c r="H233" i="17"/>
  <c r="G233" i="17"/>
  <c r="F233" i="17"/>
  <c r="E233" i="17"/>
  <c r="D233" i="17"/>
  <c r="C233" i="17"/>
  <c r="B233" i="17"/>
  <c r="H232" i="17"/>
  <c r="G232" i="17"/>
  <c r="F232" i="17"/>
  <c r="E232" i="17"/>
  <c r="D232" i="17"/>
  <c r="C232" i="17"/>
  <c r="B232" i="17"/>
  <c r="H231" i="17"/>
  <c r="G231" i="17"/>
  <c r="F231" i="17"/>
  <c r="E231" i="17"/>
  <c r="D231" i="17"/>
  <c r="C231" i="17"/>
  <c r="B231" i="17"/>
  <c r="H230" i="17"/>
  <c r="G230" i="17"/>
  <c r="F230" i="17"/>
  <c r="E230" i="17"/>
  <c r="D230" i="17"/>
  <c r="C230" i="17"/>
  <c r="B230" i="17"/>
  <c r="H229" i="17"/>
  <c r="G229" i="17"/>
  <c r="F229" i="17"/>
  <c r="E229" i="17"/>
  <c r="D229" i="17"/>
  <c r="C229" i="17"/>
  <c r="B229" i="17"/>
  <c r="H228" i="17"/>
  <c r="G228" i="17"/>
  <c r="F228" i="17"/>
  <c r="E228" i="17"/>
  <c r="D228" i="17"/>
  <c r="C228" i="17"/>
  <c r="B228" i="17"/>
  <c r="H227" i="17"/>
  <c r="G227" i="17"/>
  <c r="F227" i="17"/>
  <c r="E227" i="17"/>
  <c r="D227" i="17"/>
  <c r="C227" i="17"/>
  <c r="B227" i="17"/>
  <c r="H226" i="17"/>
  <c r="G226" i="17"/>
  <c r="F226" i="17"/>
  <c r="E226" i="17"/>
  <c r="D226" i="17"/>
  <c r="C226" i="17"/>
  <c r="B226" i="17"/>
  <c r="H225" i="17"/>
  <c r="G225" i="17"/>
  <c r="F225" i="17"/>
  <c r="E225" i="17"/>
  <c r="D225" i="17"/>
  <c r="C225" i="17"/>
  <c r="B225" i="17"/>
  <c r="H224" i="17"/>
  <c r="G224" i="17"/>
  <c r="F224" i="17"/>
  <c r="E224" i="17"/>
  <c r="D224" i="17"/>
  <c r="C224" i="17"/>
  <c r="B224" i="17"/>
  <c r="H223" i="17"/>
  <c r="G223" i="17"/>
  <c r="F223" i="17"/>
  <c r="E223" i="17"/>
  <c r="D223" i="17"/>
  <c r="C223" i="17"/>
  <c r="B223" i="17"/>
  <c r="H221" i="17"/>
  <c r="G221" i="17"/>
  <c r="F221" i="17"/>
  <c r="E221" i="17"/>
  <c r="D221" i="17"/>
  <c r="C221" i="17"/>
  <c r="B221" i="17"/>
  <c r="H220" i="17"/>
  <c r="G220" i="17"/>
  <c r="F220" i="17"/>
  <c r="E220" i="17"/>
  <c r="D220" i="17"/>
  <c r="C220" i="17"/>
  <c r="B220" i="17"/>
  <c r="H219" i="17"/>
  <c r="G219" i="17"/>
  <c r="F219" i="17"/>
  <c r="E219" i="17"/>
  <c r="D219" i="17"/>
  <c r="C219" i="17"/>
  <c r="B219" i="17"/>
  <c r="H218" i="17"/>
  <c r="G218" i="17"/>
  <c r="F218" i="17"/>
  <c r="E218" i="17"/>
  <c r="D218" i="17"/>
  <c r="C218" i="17"/>
  <c r="B218" i="17"/>
  <c r="G217" i="17"/>
  <c r="G216" i="17"/>
  <c r="B216" i="17"/>
  <c r="G215" i="17"/>
  <c r="G214" i="17"/>
  <c r="B214" i="17"/>
  <c r="G213" i="17"/>
  <c r="B213" i="17"/>
  <c r="G211" i="17"/>
  <c r="B211" i="17"/>
  <c r="G210" i="17"/>
  <c r="B210" i="17"/>
  <c r="G209" i="17"/>
  <c r="B209" i="17"/>
  <c r="G208" i="17"/>
  <c r="B208" i="17"/>
  <c r="G207" i="17"/>
  <c r="B207" i="17"/>
  <c r="G206" i="17"/>
  <c r="B206" i="17"/>
  <c r="H200" i="17"/>
  <c r="G200" i="17"/>
  <c r="F200" i="17"/>
  <c r="E200" i="17"/>
  <c r="D200" i="17"/>
  <c r="C200" i="17"/>
  <c r="B200" i="17"/>
  <c r="H199" i="17"/>
  <c r="G199" i="17"/>
  <c r="F199" i="17"/>
  <c r="E199" i="17"/>
  <c r="D199" i="17"/>
  <c r="C199" i="17"/>
  <c r="B199" i="17"/>
  <c r="H198" i="17"/>
  <c r="G198" i="17"/>
  <c r="F198" i="17"/>
  <c r="E198" i="17"/>
  <c r="D198" i="17"/>
  <c r="C198" i="17"/>
  <c r="B198" i="17"/>
  <c r="H197" i="17"/>
  <c r="G197" i="17"/>
  <c r="F197" i="17"/>
  <c r="E197" i="17"/>
  <c r="D197" i="17"/>
  <c r="C197" i="17"/>
  <c r="B197" i="17"/>
  <c r="H196" i="17"/>
  <c r="G196" i="17"/>
  <c r="F196" i="17"/>
  <c r="E196" i="17"/>
  <c r="D196" i="17"/>
  <c r="C196" i="17"/>
  <c r="B196" i="17"/>
  <c r="H195" i="17"/>
  <c r="G195" i="17"/>
  <c r="F195" i="17"/>
  <c r="E195" i="17"/>
  <c r="D195" i="17"/>
  <c r="C195" i="17"/>
  <c r="B195" i="17"/>
  <c r="H194" i="17"/>
  <c r="G194" i="17"/>
  <c r="F194" i="17"/>
  <c r="E194" i="17"/>
  <c r="D194" i="17"/>
  <c r="C194" i="17"/>
  <c r="B194" i="17"/>
  <c r="H193" i="17"/>
  <c r="G193" i="17"/>
  <c r="F193" i="17"/>
  <c r="E193" i="17"/>
  <c r="D193" i="17"/>
  <c r="C193" i="17"/>
  <c r="B193" i="17"/>
  <c r="H192" i="17"/>
  <c r="G192" i="17"/>
  <c r="F192" i="17"/>
  <c r="E192" i="17"/>
  <c r="D192" i="17"/>
  <c r="C192" i="17"/>
  <c r="B192" i="17"/>
  <c r="H191" i="17"/>
  <c r="G191" i="17"/>
  <c r="F191" i="17"/>
  <c r="E191" i="17"/>
  <c r="D191" i="17"/>
  <c r="C191" i="17"/>
  <c r="B191" i="17"/>
  <c r="H190" i="17"/>
  <c r="G190" i="17"/>
  <c r="F190" i="17"/>
  <c r="E190" i="17"/>
  <c r="D190" i="17"/>
  <c r="C190" i="17"/>
  <c r="B190" i="17"/>
  <c r="H189" i="17"/>
  <c r="G189" i="17"/>
  <c r="F189" i="17"/>
  <c r="E189" i="17"/>
  <c r="D189" i="17"/>
  <c r="C189" i="17"/>
  <c r="B189" i="17"/>
  <c r="H188" i="17"/>
  <c r="G188" i="17"/>
  <c r="F188" i="17"/>
  <c r="E188" i="17"/>
  <c r="D188" i="17"/>
  <c r="C188" i="17"/>
  <c r="B188" i="17"/>
  <c r="H187" i="17"/>
  <c r="G187" i="17"/>
  <c r="F187" i="17"/>
  <c r="E187" i="17"/>
  <c r="D187" i="17"/>
  <c r="C187" i="17"/>
  <c r="B187" i="17"/>
  <c r="H186" i="17"/>
  <c r="G186" i="17"/>
  <c r="F186" i="17"/>
  <c r="E186" i="17"/>
  <c r="D186" i="17"/>
  <c r="C186" i="17"/>
  <c r="B186" i="17"/>
  <c r="H185" i="17"/>
  <c r="G185" i="17"/>
  <c r="F185" i="17"/>
  <c r="E185" i="17"/>
  <c r="D185" i="17"/>
  <c r="C185" i="17"/>
  <c r="B185" i="17"/>
  <c r="H184" i="17"/>
  <c r="G184" i="17"/>
  <c r="F184" i="17"/>
  <c r="E184" i="17"/>
  <c r="D184" i="17"/>
  <c r="C184" i="17"/>
  <c r="B184" i="17"/>
  <c r="H183" i="17"/>
  <c r="G183" i="17"/>
  <c r="F183" i="17"/>
  <c r="E183" i="17"/>
  <c r="D183" i="17"/>
  <c r="C183" i="17"/>
  <c r="B183" i="17"/>
  <c r="H182" i="17"/>
  <c r="G182" i="17"/>
  <c r="F182" i="17"/>
  <c r="E182" i="17"/>
  <c r="D182" i="17"/>
  <c r="C182" i="17"/>
  <c r="B182" i="17"/>
  <c r="H181" i="17"/>
  <c r="G181" i="17"/>
  <c r="F181" i="17"/>
  <c r="E181" i="17"/>
  <c r="D181" i="17"/>
  <c r="C181" i="17"/>
  <c r="B181" i="17"/>
  <c r="H180" i="17"/>
  <c r="G180" i="17"/>
  <c r="F180" i="17"/>
  <c r="E180" i="17"/>
  <c r="D180" i="17"/>
  <c r="C180" i="17"/>
  <c r="B180" i="17"/>
  <c r="H179" i="17"/>
  <c r="G179" i="17"/>
  <c r="F179" i="17"/>
  <c r="E179" i="17"/>
  <c r="D179" i="17"/>
  <c r="C179" i="17"/>
  <c r="B179" i="17"/>
  <c r="H178" i="17"/>
  <c r="G178" i="17"/>
  <c r="F178" i="17"/>
  <c r="E178" i="17"/>
  <c r="D178" i="17"/>
  <c r="C178" i="17"/>
  <c r="B178" i="17"/>
  <c r="H177" i="17"/>
  <c r="G177" i="17"/>
  <c r="F177" i="17"/>
  <c r="E177" i="17"/>
  <c r="D177" i="17"/>
  <c r="C177" i="17"/>
  <c r="B177" i="17"/>
  <c r="H174" i="17"/>
  <c r="G174" i="17"/>
  <c r="F174" i="17"/>
  <c r="E174" i="17"/>
  <c r="D174" i="17"/>
  <c r="C174" i="17"/>
  <c r="B174" i="17"/>
  <c r="H173" i="17"/>
  <c r="G173" i="17"/>
  <c r="F173" i="17"/>
  <c r="E173" i="17"/>
  <c r="D173" i="17"/>
  <c r="C173" i="17"/>
  <c r="B173" i="17"/>
  <c r="H172" i="17"/>
  <c r="G172" i="17"/>
  <c r="F172" i="17"/>
  <c r="E172" i="17"/>
  <c r="D172" i="17"/>
  <c r="C172" i="17"/>
  <c r="B172" i="17"/>
  <c r="H171" i="17"/>
  <c r="G171" i="17"/>
  <c r="F171" i="17"/>
  <c r="E171" i="17"/>
  <c r="D171" i="17"/>
  <c r="C171" i="17"/>
  <c r="B171" i="17"/>
  <c r="H170" i="17"/>
  <c r="G170" i="17"/>
  <c r="F170" i="17"/>
  <c r="E170" i="17"/>
  <c r="D170" i="17"/>
  <c r="C170" i="17"/>
  <c r="B170" i="17"/>
  <c r="H169" i="17"/>
  <c r="G169" i="17"/>
  <c r="F169" i="17"/>
  <c r="E169" i="17"/>
  <c r="D169" i="17"/>
  <c r="C169" i="17"/>
  <c r="B169" i="17"/>
  <c r="H168" i="17"/>
  <c r="G168" i="17"/>
  <c r="F168" i="17"/>
  <c r="E168" i="17"/>
  <c r="D168" i="17"/>
  <c r="C168" i="17"/>
  <c r="B168" i="17"/>
  <c r="H167" i="17"/>
  <c r="G167" i="17"/>
  <c r="F167" i="17"/>
  <c r="E167" i="17"/>
  <c r="D167" i="17"/>
  <c r="C167" i="17"/>
  <c r="B167" i="17"/>
  <c r="H166" i="17"/>
  <c r="G166" i="17"/>
  <c r="F166" i="17"/>
  <c r="E166" i="17"/>
  <c r="D166" i="17"/>
  <c r="C166" i="17"/>
  <c r="B166" i="17"/>
  <c r="H165" i="17"/>
  <c r="G165" i="17"/>
  <c r="F165" i="17"/>
  <c r="E165" i="17"/>
  <c r="D165" i="17"/>
  <c r="C165" i="17"/>
  <c r="B165" i="17"/>
  <c r="H164" i="17"/>
  <c r="G164" i="17"/>
  <c r="F164" i="17"/>
  <c r="E164" i="17"/>
  <c r="D164" i="17"/>
  <c r="C164" i="17"/>
  <c r="B164" i="17"/>
  <c r="H163" i="17"/>
  <c r="G163" i="17"/>
  <c r="F163" i="17"/>
  <c r="E163" i="17"/>
  <c r="D163" i="17"/>
  <c r="C163" i="17"/>
  <c r="B163" i="17"/>
  <c r="H162" i="17"/>
  <c r="G162" i="17"/>
  <c r="F162" i="17"/>
  <c r="E162" i="17"/>
  <c r="D162" i="17"/>
  <c r="C162" i="17"/>
  <c r="B162" i="17"/>
  <c r="H161" i="17"/>
  <c r="G161" i="17"/>
  <c r="F161" i="17"/>
  <c r="E161" i="17"/>
  <c r="D161" i="17"/>
  <c r="C161" i="17"/>
  <c r="B161" i="17"/>
  <c r="H160" i="17"/>
  <c r="G160" i="17"/>
  <c r="F160" i="17"/>
  <c r="E160" i="17"/>
  <c r="D160" i="17"/>
  <c r="C160" i="17"/>
  <c r="B160" i="17"/>
  <c r="H159" i="17"/>
  <c r="G159" i="17"/>
  <c r="F159" i="17"/>
  <c r="E159" i="17"/>
  <c r="D159" i="17"/>
  <c r="C159" i="17"/>
  <c r="B159" i="17"/>
  <c r="H158" i="17"/>
  <c r="G158" i="17"/>
  <c r="F158" i="17"/>
  <c r="E158" i="17"/>
  <c r="D158" i="17"/>
  <c r="C158" i="17"/>
  <c r="B158" i="17"/>
  <c r="H157" i="17"/>
  <c r="G157" i="17"/>
  <c r="F157" i="17"/>
  <c r="E157" i="17"/>
  <c r="D157" i="17"/>
  <c r="C157" i="17"/>
  <c r="B157" i="17"/>
  <c r="H155" i="17"/>
  <c r="G155" i="17"/>
  <c r="F155" i="17"/>
  <c r="E155" i="17"/>
  <c r="D155" i="17"/>
  <c r="C155" i="17"/>
  <c r="B155" i="17"/>
  <c r="H154" i="17"/>
  <c r="G154" i="17"/>
  <c r="F154" i="17"/>
  <c r="E154" i="17"/>
  <c r="D154" i="17"/>
  <c r="C154" i="17"/>
  <c r="B154" i="17"/>
  <c r="H153" i="17"/>
  <c r="G153" i="17"/>
  <c r="F153" i="17"/>
  <c r="E153" i="17"/>
  <c r="D153" i="17"/>
  <c r="C153" i="17"/>
  <c r="B153" i="17"/>
  <c r="H152" i="17"/>
  <c r="G152" i="17"/>
  <c r="F152" i="17"/>
  <c r="E152" i="17"/>
  <c r="D152" i="17"/>
  <c r="C152" i="17"/>
  <c r="B152" i="17"/>
  <c r="H151" i="17"/>
  <c r="G151" i="17"/>
  <c r="F151" i="17"/>
  <c r="E151" i="17"/>
  <c r="D151" i="17"/>
  <c r="C151" i="17"/>
  <c r="B151" i="17"/>
  <c r="B144" i="17"/>
  <c r="E143" i="17"/>
  <c r="E142" i="17"/>
  <c r="E141" i="17"/>
  <c r="B141" i="17"/>
  <c r="B139" i="17"/>
  <c r="B138" i="17"/>
  <c r="B137" i="17"/>
  <c r="B136" i="17"/>
  <c r="B135" i="17"/>
  <c r="B134" i="17"/>
  <c r="H129" i="17"/>
  <c r="G129" i="17"/>
  <c r="F129" i="17"/>
  <c r="E129" i="17"/>
  <c r="D129" i="17"/>
  <c r="C129" i="17"/>
  <c r="B129" i="17"/>
  <c r="H128" i="17"/>
  <c r="G128" i="17"/>
  <c r="F128" i="17"/>
  <c r="E128" i="17"/>
  <c r="D128" i="17"/>
  <c r="C128" i="17"/>
  <c r="B128" i="17"/>
  <c r="H127" i="17"/>
  <c r="G127" i="17"/>
  <c r="F127" i="17"/>
  <c r="E127" i="17"/>
  <c r="D127" i="17"/>
  <c r="C127" i="17"/>
  <c r="B127" i="17"/>
  <c r="H126" i="17"/>
  <c r="G126" i="17"/>
  <c r="F126" i="17"/>
  <c r="E126" i="17"/>
  <c r="D126" i="17"/>
  <c r="C126" i="17"/>
  <c r="B126" i="17"/>
  <c r="H125" i="17"/>
  <c r="G125" i="17"/>
  <c r="F125" i="17"/>
  <c r="E125" i="17"/>
  <c r="D125" i="17"/>
  <c r="C125" i="17"/>
  <c r="B125" i="17"/>
  <c r="H120" i="17"/>
  <c r="G120" i="17"/>
  <c r="F120" i="17"/>
  <c r="E120" i="17"/>
  <c r="D120" i="17"/>
  <c r="C120" i="17"/>
  <c r="B120" i="17"/>
  <c r="H119" i="17"/>
  <c r="G119" i="17"/>
  <c r="F119" i="17"/>
  <c r="E119" i="17"/>
  <c r="D119" i="17"/>
  <c r="C119" i="17"/>
  <c r="B119" i="17"/>
  <c r="H118" i="17"/>
  <c r="G118" i="17"/>
  <c r="F118" i="17"/>
  <c r="E118" i="17"/>
  <c r="D118" i="17"/>
  <c r="C118" i="17"/>
  <c r="B118" i="17"/>
  <c r="H117" i="17"/>
  <c r="G117" i="17"/>
  <c r="F117" i="17"/>
  <c r="E117" i="17"/>
  <c r="D117" i="17"/>
  <c r="C117" i="17"/>
  <c r="B117" i="17"/>
  <c r="H116" i="17"/>
  <c r="G116" i="17"/>
  <c r="F116" i="17"/>
  <c r="E116" i="17"/>
  <c r="D116" i="17"/>
  <c r="C116" i="17"/>
  <c r="B116" i="17"/>
  <c r="H115" i="17"/>
  <c r="G115" i="17"/>
  <c r="F115" i="17"/>
  <c r="E115" i="17"/>
  <c r="D115" i="17"/>
  <c r="C115" i="17"/>
  <c r="B115" i="17"/>
  <c r="H114" i="17"/>
  <c r="G114" i="17"/>
  <c r="F114" i="17"/>
  <c r="E114" i="17"/>
  <c r="D114" i="17"/>
  <c r="C114" i="17"/>
  <c r="B114" i="17"/>
  <c r="H113" i="17"/>
  <c r="G113" i="17"/>
  <c r="F113" i="17"/>
  <c r="E113" i="17"/>
  <c r="D113" i="17"/>
  <c r="C113" i="17"/>
  <c r="B113" i="17"/>
  <c r="H112" i="17"/>
  <c r="G112" i="17"/>
  <c r="F112" i="17"/>
  <c r="E112" i="17"/>
  <c r="D112" i="17"/>
  <c r="C112" i="17"/>
  <c r="B112" i="17"/>
  <c r="H111" i="17"/>
  <c r="G111" i="17"/>
  <c r="F111" i="17"/>
  <c r="E111" i="17"/>
  <c r="D111" i="17"/>
  <c r="C111" i="17"/>
  <c r="B111" i="17"/>
  <c r="Z110" i="17"/>
  <c r="Y110" i="17"/>
  <c r="X110" i="17"/>
  <c r="W110" i="17"/>
  <c r="V110" i="17"/>
  <c r="U110" i="17"/>
  <c r="P110" i="17"/>
  <c r="M110" i="17"/>
  <c r="H110" i="17"/>
  <c r="G110" i="17"/>
  <c r="F110" i="17"/>
  <c r="E110" i="17"/>
  <c r="D110" i="17"/>
  <c r="C110" i="17"/>
  <c r="B110" i="17"/>
  <c r="Z109" i="17"/>
  <c r="Y109" i="17"/>
  <c r="X109" i="17"/>
  <c r="W109" i="17"/>
  <c r="V109" i="17"/>
  <c r="U109" i="17"/>
  <c r="P109" i="17"/>
  <c r="M109" i="17"/>
  <c r="H109" i="17"/>
  <c r="G109" i="17"/>
  <c r="F109" i="17"/>
  <c r="E109" i="17"/>
  <c r="D109" i="17"/>
  <c r="C109" i="17"/>
  <c r="B109" i="17"/>
  <c r="Z108" i="17"/>
  <c r="Y108" i="17"/>
  <c r="X108" i="17"/>
  <c r="W108" i="17"/>
  <c r="V108" i="17"/>
  <c r="U108" i="17"/>
  <c r="P108" i="17"/>
  <c r="M108" i="17"/>
  <c r="H108" i="17"/>
  <c r="G108" i="17"/>
  <c r="F108" i="17"/>
  <c r="E108" i="17"/>
  <c r="D108" i="17"/>
  <c r="C108" i="17"/>
  <c r="B108" i="17"/>
  <c r="Z107" i="17"/>
  <c r="Y107" i="17"/>
  <c r="X107" i="17"/>
  <c r="W107" i="17"/>
  <c r="V107" i="17"/>
  <c r="U107" i="17"/>
  <c r="P107" i="17"/>
  <c r="M107" i="17"/>
  <c r="H107" i="17"/>
  <c r="G107" i="17"/>
  <c r="F107" i="17"/>
  <c r="E107" i="17"/>
  <c r="D107" i="17"/>
  <c r="C107" i="17"/>
  <c r="B107" i="17"/>
  <c r="Z106" i="17"/>
  <c r="Y106" i="17"/>
  <c r="X106" i="17"/>
  <c r="W106" i="17"/>
  <c r="V106" i="17"/>
  <c r="U106" i="17"/>
  <c r="P106" i="17"/>
  <c r="M106" i="17"/>
  <c r="H106" i="17"/>
  <c r="G106" i="17"/>
  <c r="F106" i="17"/>
  <c r="E106" i="17"/>
  <c r="D106" i="17"/>
  <c r="C106" i="17"/>
  <c r="B106" i="17"/>
  <c r="Z105" i="17"/>
  <c r="Y105" i="17"/>
  <c r="X105" i="17"/>
  <c r="W105" i="17"/>
  <c r="V105" i="17"/>
  <c r="U105" i="17"/>
  <c r="P105" i="17"/>
  <c r="M105" i="17"/>
  <c r="H105" i="17"/>
  <c r="G105" i="17"/>
  <c r="F105" i="17"/>
  <c r="E105" i="17"/>
  <c r="D105" i="17"/>
  <c r="C105" i="17"/>
  <c r="B105" i="17"/>
  <c r="Z104" i="17"/>
  <c r="Y104" i="17"/>
  <c r="X104" i="17"/>
  <c r="W104" i="17"/>
  <c r="V104" i="17"/>
  <c r="U104" i="17"/>
  <c r="P104" i="17"/>
  <c r="M104" i="17"/>
  <c r="H104" i="17"/>
  <c r="G104" i="17"/>
  <c r="F104" i="17"/>
  <c r="E104" i="17"/>
  <c r="D104" i="17"/>
  <c r="C104" i="17"/>
  <c r="B104" i="17"/>
  <c r="Z103" i="17"/>
  <c r="Y103" i="17"/>
  <c r="X103" i="17"/>
  <c r="W103" i="17"/>
  <c r="V103" i="17"/>
  <c r="U103" i="17"/>
  <c r="P103" i="17"/>
  <c r="M103" i="17"/>
  <c r="H103" i="17"/>
  <c r="G103" i="17"/>
  <c r="F103" i="17"/>
  <c r="E103" i="17"/>
  <c r="D103" i="17"/>
  <c r="C103" i="17"/>
  <c r="B103" i="17"/>
  <c r="Z102" i="17"/>
  <c r="Y102" i="17"/>
  <c r="X102" i="17"/>
  <c r="W102" i="17"/>
  <c r="V102" i="17"/>
  <c r="U102" i="17"/>
  <c r="P102" i="17"/>
  <c r="M102" i="17"/>
  <c r="H102" i="17"/>
  <c r="G102" i="17"/>
  <c r="F102" i="17"/>
  <c r="E102" i="17"/>
  <c r="D102" i="17"/>
  <c r="C102" i="17"/>
  <c r="B102" i="17"/>
  <c r="Z101" i="17"/>
  <c r="Y101" i="17"/>
  <c r="X101" i="17"/>
  <c r="W101" i="17"/>
  <c r="V101" i="17"/>
  <c r="U101" i="17"/>
  <c r="P101" i="17"/>
  <c r="M101" i="17"/>
  <c r="Z100" i="17"/>
  <c r="Y100" i="17"/>
  <c r="X100" i="17"/>
  <c r="W100" i="17"/>
  <c r="V100" i="17"/>
  <c r="U100" i="17"/>
  <c r="P100" i="17"/>
  <c r="M100" i="17"/>
  <c r="H100" i="17"/>
  <c r="G100" i="17"/>
  <c r="F100" i="17"/>
  <c r="E100" i="17"/>
  <c r="D100" i="17"/>
  <c r="C100" i="17"/>
  <c r="B100" i="17"/>
  <c r="Z99" i="17"/>
  <c r="Y99" i="17"/>
  <c r="X99" i="17"/>
  <c r="W99" i="17"/>
  <c r="V99" i="17"/>
  <c r="U99" i="17"/>
  <c r="P99" i="17"/>
  <c r="M99" i="17"/>
  <c r="H99" i="17"/>
  <c r="G99" i="17"/>
  <c r="F99" i="17"/>
  <c r="E99" i="17"/>
  <c r="D99" i="17"/>
  <c r="C99" i="17"/>
  <c r="B99" i="17"/>
  <c r="Z98" i="17"/>
  <c r="Y98" i="17"/>
  <c r="X98" i="17"/>
  <c r="W98" i="17"/>
  <c r="V98" i="17"/>
  <c r="U98" i="17"/>
  <c r="P98" i="17"/>
  <c r="M98" i="17"/>
  <c r="H98" i="17"/>
  <c r="G98" i="17"/>
  <c r="F98" i="17"/>
  <c r="E98" i="17"/>
  <c r="D98" i="17"/>
  <c r="C98" i="17"/>
  <c r="B98" i="17"/>
  <c r="H97" i="17"/>
  <c r="G97" i="17"/>
  <c r="F97" i="17"/>
  <c r="E97" i="17"/>
  <c r="D97" i="17"/>
  <c r="C97" i="17"/>
  <c r="B97" i="17"/>
  <c r="H95" i="17"/>
  <c r="G95" i="17"/>
  <c r="F95" i="17"/>
  <c r="E95" i="17"/>
  <c r="D95" i="17"/>
  <c r="C95" i="17"/>
  <c r="B95" i="17"/>
  <c r="Z94" i="17"/>
  <c r="Y94" i="17"/>
  <c r="X94" i="17"/>
  <c r="W94" i="17"/>
  <c r="V94" i="17"/>
  <c r="U94" i="17"/>
  <c r="P94" i="17"/>
  <c r="M94" i="17"/>
  <c r="H94" i="17"/>
  <c r="G94" i="17"/>
  <c r="F94" i="17"/>
  <c r="E94" i="17"/>
  <c r="D94" i="17"/>
  <c r="C94" i="17"/>
  <c r="B94" i="17"/>
  <c r="Z93" i="17"/>
  <c r="Y93" i="17"/>
  <c r="X93" i="17"/>
  <c r="W93" i="17"/>
  <c r="V93" i="17"/>
  <c r="U93" i="17"/>
  <c r="P93" i="17"/>
  <c r="M93" i="17"/>
  <c r="H93" i="17"/>
  <c r="G93" i="17"/>
  <c r="F93" i="17"/>
  <c r="E93" i="17"/>
  <c r="D93" i="17"/>
  <c r="C93" i="17"/>
  <c r="B93" i="17"/>
  <c r="Z92" i="17"/>
  <c r="Y92" i="17"/>
  <c r="X92" i="17"/>
  <c r="W92" i="17"/>
  <c r="V92" i="17"/>
  <c r="U92" i="17"/>
  <c r="P92" i="17"/>
  <c r="M92" i="17"/>
  <c r="H92" i="17"/>
  <c r="G92" i="17"/>
  <c r="F92" i="17"/>
  <c r="E92" i="17"/>
  <c r="D92" i="17"/>
  <c r="C92" i="17"/>
  <c r="B92" i="17"/>
  <c r="Z91" i="17"/>
  <c r="Y91" i="17"/>
  <c r="X91" i="17"/>
  <c r="W91" i="17"/>
  <c r="V91" i="17"/>
  <c r="U91" i="17"/>
  <c r="P91" i="17"/>
  <c r="M91" i="17"/>
  <c r="H91" i="17"/>
  <c r="G91" i="17"/>
  <c r="F91" i="17"/>
  <c r="E91" i="17"/>
  <c r="D91" i="17"/>
  <c r="C91" i="17"/>
  <c r="B91" i="17"/>
  <c r="Z90" i="17"/>
  <c r="Y90" i="17"/>
  <c r="X90" i="17"/>
  <c r="W90" i="17"/>
  <c r="V90" i="17"/>
  <c r="U90" i="17"/>
  <c r="P90" i="17"/>
  <c r="M90" i="17"/>
  <c r="H90" i="17"/>
  <c r="G90" i="17"/>
  <c r="F90" i="17"/>
  <c r="E90" i="17"/>
  <c r="D90" i="17"/>
  <c r="C90" i="17"/>
  <c r="B90" i="17"/>
  <c r="Z89" i="17"/>
  <c r="Y89" i="17"/>
  <c r="X89" i="17"/>
  <c r="W89" i="17"/>
  <c r="V89" i="17"/>
  <c r="U89" i="17"/>
  <c r="P89" i="17"/>
  <c r="M89" i="17"/>
  <c r="B89" i="17"/>
  <c r="Z88" i="17"/>
  <c r="Y88" i="17"/>
  <c r="X88" i="17"/>
  <c r="W88" i="17"/>
  <c r="V88" i="17"/>
  <c r="U88" i="17"/>
  <c r="P88" i="17"/>
  <c r="M88" i="17"/>
  <c r="B88" i="17"/>
  <c r="Z87" i="17"/>
  <c r="Y87" i="17"/>
  <c r="X87" i="17"/>
  <c r="W87" i="17"/>
  <c r="V87" i="17"/>
  <c r="U87" i="17"/>
  <c r="P87" i="17"/>
  <c r="M87" i="17"/>
  <c r="G87" i="17"/>
  <c r="B87" i="17"/>
  <c r="Z86" i="17"/>
  <c r="Y86" i="17"/>
  <c r="X86" i="17"/>
  <c r="W86" i="17"/>
  <c r="V86" i="17"/>
  <c r="U86" i="17"/>
  <c r="P86" i="17"/>
  <c r="M86" i="17"/>
  <c r="G86" i="17"/>
  <c r="B86" i="17"/>
  <c r="Z85" i="17"/>
  <c r="Y85" i="17"/>
  <c r="X85" i="17"/>
  <c r="W85" i="17"/>
  <c r="V85" i="17"/>
  <c r="U85" i="17"/>
  <c r="P85" i="17"/>
  <c r="M85" i="17"/>
  <c r="G85" i="17"/>
  <c r="B85" i="17"/>
  <c r="Z84" i="17"/>
  <c r="Y84" i="17"/>
  <c r="X84" i="17"/>
  <c r="W84" i="17"/>
  <c r="V84" i="17"/>
  <c r="U84" i="17"/>
  <c r="P84" i="17"/>
  <c r="M84" i="17"/>
  <c r="G84" i="17"/>
  <c r="B84" i="17"/>
  <c r="Z83" i="17"/>
  <c r="Y83" i="17"/>
  <c r="X83" i="17"/>
  <c r="W83" i="17"/>
  <c r="V83" i="17"/>
  <c r="U83" i="17"/>
  <c r="P83" i="17"/>
  <c r="M83" i="17"/>
  <c r="Z82" i="17"/>
  <c r="Y82" i="17"/>
  <c r="X82" i="17"/>
  <c r="W82" i="17"/>
  <c r="V82" i="17"/>
  <c r="U82" i="17"/>
  <c r="P82" i="17"/>
  <c r="M82" i="17"/>
  <c r="H79" i="17"/>
  <c r="G79" i="17"/>
  <c r="F79" i="17"/>
  <c r="E79" i="17"/>
  <c r="D79" i="17"/>
  <c r="C79" i="17"/>
  <c r="B79" i="17"/>
  <c r="H78" i="17"/>
  <c r="G78" i="17"/>
  <c r="F78" i="17"/>
  <c r="E78" i="17"/>
  <c r="D78" i="17"/>
  <c r="C78" i="17"/>
  <c r="B78" i="17"/>
  <c r="H77" i="17"/>
  <c r="G77" i="17"/>
  <c r="F77" i="17"/>
  <c r="E77" i="17"/>
  <c r="D77" i="17"/>
  <c r="C77" i="17"/>
  <c r="B77" i="17"/>
  <c r="H76" i="17"/>
  <c r="G76" i="17"/>
  <c r="F76" i="17"/>
  <c r="E76" i="17"/>
  <c r="D76" i="17"/>
  <c r="C76" i="17"/>
  <c r="B76" i="17"/>
  <c r="H75" i="17"/>
  <c r="G75" i="17"/>
  <c r="F75" i="17"/>
  <c r="E75" i="17"/>
  <c r="D75" i="17"/>
  <c r="C75" i="17"/>
  <c r="B75" i="17"/>
  <c r="H70" i="17"/>
  <c r="G70" i="17"/>
  <c r="F70" i="17"/>
  <c r="E70" i="17"/>
  <c r="D70" i="17"/>
  <c r="C70" i="17"/>
  <c r="B70" i="17"/>
  <c r="H69" i="17"/>
  <c r="G69" i="17"/>
  <c r="F69" i="17"/>
  <c r="E69" i="17"/>
  <c r="D69" i="17"/>
  <c r="C69" i="17"/>
  <c r="B69" i="17"/>
  <c r="H68" i="17"/>
  <c r="G68" i="17"/>
  <c r="F68" i="17"/>
  <c r="E68" i="17"/>
  <c r="D68" i="17"/>
  <c r="C68" i="17"/>
  <c r="B68" i="17"/>
  <c r="H67" i="17"/>
  <c r="G67" i="17"/>
  <c r="F67" i="17"/>
  <c r="E67" i="17"/>
  <c r="D67" i="17"/>
  <c r="C67" i="17"/>
  <c r="B67" i="17"/>
  <c r="H66" i="17"/>
  <c r="G66" i="17"/>
  <c r="F66" i="17"/>
  <c r="E66" i="17"/>
  <c r="D66" i="17"/>
  <c r="C66" i="17"/>
  <c r="B66" i="17"/>
  <c r="H65" i="17"/>
  <c r="G65" i="17"/>
  <c r="F65" i="17"/>
  <c r="E65" i="17"/>
  <c r="D65" i="17"/>
  <c r="C65" i="17"/>
  <c r="B65" i="17"/>
  <c r="H64" i="17"/>
  <c r="G64" i="17"/>
  <c r="F64" i="17"/>
  <c r="E64" i="17"/>
  <c r="D64" i="17"/>
  <c r="C64" i="17"/>
  <c r="B64" i="17"/>
  <c r="H63" i="17"/>
  <c r="G63" i="17"/>
  <c r="F63" i="17"/>
  <c r="E63" i="17"/>
  <c r="D63" i="17"/>
  <c r="C63" i="17"/>
  <c r="B63" i="17"/>
  <c r="H62" i="17"/>
  <c r="G62" i="17"/>
  <c r="F62" i="17"/>
  <c r="E62" i="17"/>
  <c r="D62" i="17"/>
  <c r="C62" i="17"/>
  <c r="B62" i="17"/>
  <c r="H61" i="17"/>
  <c r="G61" i="17"/>
  <c r="F61" i="17"/>
  <c r="E61" i="17"/>
  <c r="D61" i="17"/>
  <c r="C61" i="17"/>
  <c r="B61" i="17"/>
  <c r="H60" i="17"/>
  <c r="G60" i="17"/>
  <c r="F60" i="17"/>
  <c r="E60" i="17"/>
  <c r="D60" i="17"/>
  <c r="C60" i="17"/>
  <c r="B60" i="17"/>
  <c r="H59" i="17"/>
  <c r="G59" i="17"/>
  <c r="F59" i="17"/>
  <c r="E59" i="17"/>
  <c r="D59" i="17"/>
  <c r="C59" i="17"/>
  <c r="B59" i="17"/>
  <c r="H58" i="17"/>
  <c r="G58" i="17"/>
  <c r="F58" i="17"/>
  <c r="E58" i="17"/>
  <c r="D58" i="17"/>
  <c r="C58" i="17"/>
  <c r="B58" i="17"/>
  <c r="H57" i="17"/>
  <c r="G57" i="17"/>
  <c r="F57" i="17"/>
  <c r="E57" i="17"/>
  <c r="D57" i="17"/>
  <c r="C57" i="17"/>
  <c r="B57" i="17"/>
  <c r="H56" i="17"/>
  <c r="G56" i="17"/>
  <c r="F56" i="17"/>
  <c r="E56" i="17"/>
  <c r="D56" i="17"/>
  <c r="C56" i="17"/>
  <c r="B56" i="17"/>
  <c r="H55" i="17"/>
  <c r="G55" i="17"/>
  <c r="F55" i="17"/>
  <c r="E55" i="17"/>
  <c r="D55" i="17"/>
  <c r="C55" i="17"/>
  <c r="B55" i="17"/>
  <c r="H54" i="17"/>
  <c r="G54" i="17"/>
  <c r="F54" i="17"/>
  <c r="E54" i="17"/>
  <c r="D54" i="17"/>
  <c r="C54" i="17"/>
  <c r="B54" i="17"/>
  <c r="H53" i="17"/>
  <c r="G53" i="17"/>
  <c r="F53" i="17"/>
  <c r="E53" i="17"/>
  <c r="D53" i="17"/>
  <c r="C53" i="17"/>
  <c r="B53" i="17"/>
  <c r="H52" i="17"/>
  <c r="G52" i="17"/>
  <c r="F52" i="17"/>
  <c r="E52" i="17"/>
  <c r="D52" i="17"/>
  <c r="C52" i="17"/>
  <c r="B52" i="17"/>
  <c r="H51" i="17"/>
  <c r="G51" i="17"/>
  <c r="F51" i="17"/>
  <c r="E51" i="17"/>
  <c r="D51" i="17"/>
  <c r="C51" i="17"/>
  <c r="B51" i="17"/>
  <c r="H50" i="17"/>
  <c r="G50" i="17"/>
  <c r="F50" i="17"/>
  <c r="E50" i="17"/>
  <c r="D50" i="17"/>
  <c r="C50" i="17"/>
  <c r="B50" i="17"/>
  <c r="H49" i="17"/>
  <c r="G49" i="17"/>
  <c r="F49" i="17"/>
  <c r="E49" i="17"/>
  <c r="D49" i="17"/>
  <c r="C49" i="17"/>
  <c r="B49" i="17"/>
  <c r="H48" i="17"/>
  <c r="G48" i="17"/>
  <c r="F48" i="17"/>
  <c r="E48" i="17"/>
  <c r="D48" i="17"/>
  <c r="C48" i="17"/>
  <c r="B48" i="17"/>
  <c r="H44" i="17"/>
  <c r="G44" i="17"/>
  <c r="F44" i="17"/>
  <c r="E44" i="17"/>
  <c r="D44" i="17"/>
  <c r="C44" i="17"/>
  <c r="B44" i="17"/>
  <c r="H43" i="17"/>
  <c r="G43" i="17"/>
  <c r="F43" i="17"/>
  <c r="E43" i="17"/>
  <c r="D43" i="17"/>
  <c r="C43" i="17"/>
  <c r="B43" i="17"/>
  <c r="H42" i="17"/>
  <c r="G42" i="17"/>
  <c r="F42" i="17"/>
  <c r="E42" i="17"/>
  <c r="D42" i="17"/>
  <c r="C42" i="17"/>
  <c r="B42" i="17"/>
  <c r="H40" i="17"/>
  <c r="G40" i="17"/>
  <c r="F40" i="17"/>
  <c r="E40" i="17"/>
  <c r="D40" i="17"/>
  <c r="C40" i="17"/>
  <c r="B40" i="17"/>
  <c r="H39" i="17"/>
  <c r="G39" i="17"/>
  <c r="F39" i="17"/>
  <c r="E39" i="17"/>
  <c r="D39" i="17"/>
  <c r="C39" i="17"/>
  <c r="B39" i="17"/>
  <c r="H38" i="17"/>
  <c r="G38" i="17"/>
  <c r="F38" i="17"/>
  <c r="E38" i="17"/>
  <c r="D38" i="17"/>
  <c r="C38" i="17"/>
  <c r="B38" i="17"/>
  <c r="H37" i="17"/>
  <c r="G37" i="17"/>
  <c r="F37" i="17"/>
  <c r="E37" i="17"/>
  <c r="D37" i="17"/>
  <c r="C37" i="17"/>
  <c r="B37" i="17"/>
  <c r="BE36" i="17"/>
  <c r="BD36" i="17"/>
  <c r="AZ36" i="17"/>
  <c r="AY36" i="17"/>
  <c r="AX36" i="17"/>
  <c r="AW36" i="17"/>
  <c r="AV36" i="17"/>
  <c r="AU36" i="17"/>
  <c r="AT36" i="17"/>
  <c r="AS36" i="17"/>
  <c r="AR36" i="17"/>
  <c r="AP36" i="17"/>
  <c r="AO36" i="17"/>
  <c r="AN36" i="17"/>
  <c r="AM36" i="17"/>
  <c r="AL36" i="17"/>
  <c r="AK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J36" i="17"/>
  <c r="BE35" i="17"/>
  <c r="BD35" i="17"/>
  <c r="AZ35" i="17"/>
  <c r="AY35" i="17"/>
  <c r="AX35" i="17"/>
  <c r="AW35" i="17"/>
  <c r="AV35" i="17"/>
  <c r="AU35" i="17"/>
  <c r="AT35" i="17"/>
  <c r="AS35" i="17"/>
  <c r="AR35" i="17"/>
  <c r="AP35" i="17"/>
  <c r="AO35" i="17"/>
  <c r="AN35" i="17"/>
  <c r="AM35" i="17"/>
  <c r="AL35" i="17"/>
  <c r="AK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J35" i="17"/>
  <c r="BE34" i="17"/>
  <c r="BD34" i="17"/>
  <c r="AZ34" i="17"/>
  <c r="AY34" i="17"/>
  <c r="AX34" i="17"/>
  <c r="AW34" i="17"/>
  <c r="AV34" i="17"/>
  <c r="AU34" i="17"/>
  <c r="AT34" i="17"/>
  <c r="AS34" i="17"/>
  <c r="AR34" i="17"/>
  <c r="AP34" i="17"/>
  <c r="AO34" i="17"/>
  <c r="AN34" i="17"/>
  <c r="AM34" i="17"/>
  <c r="AL34" i="17"/>
  <c r="AK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J34" i="17"/>
  <c r="BE33" i="17"/>
  <c r="BD33" i="17"/>
  <c r="AZ33" i="17"/>
  <c r="AY33" i="17"/>
  <c r="AX33" i="17"/>
  <c r="AW33" i="17"/>
  <c r="AV33" i="17"/>
  <c r="AU33" i="17"/>
  <c r="AT33" i="17"/>
  <c r="AS33" i="17"/>
  <c r="AR33" i="17"/>
  <c r="AP33" i="17"/>
  <c r="AO33" i="17"/>
  <c r="AN33" i="17"/>
  <c r="AM33" i="17"/>
  <c r="AL33" i="17"/>
  <c r="AK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J33" i="17"/>
  <c r="BE32" i="17"/>
  <c r="BD32" i="17"/>
  <c r="AZ32" i="17"/>
  <c r="AY32" i="17"/>
  <c r="AX32" i="17"/>
  <c r="AW32" i="17"/>
  <c r="AV32" i="17"/>
  <c r="AU32" i="17"/>
  <c r="AT32" i="17"/>
  <c r="AS32" i="17"/>
  <c r="AR32" i="17"/>
  <c r="AP32" i="17"/>
  <c r="AO32" i="17"/>
  <c r="AN32" i="17"/>
  <c r="AM32" i="17"/>
  <c r="AL32" i="17"/>
  <c r="AK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J32" i="17"/>
  <c r="I32" i="17"/>
  <c r="G32" i="17"/>
  <c r="BE31" i="17"/>
  <c r="BD31" i="17"/>
  <c r="AZ31" i="17"/>
  <c r="AY31" i="17"/>
  <c r="AX31" i="17"/>
  <c r="AW31" i="17"/>
  <c r="AV31" i="17"/>
  <c r="AU31" i="17"/>
  <c r="AT31" i="17"/>
  <c r="AS31" i="17"/>
  <c r="AR31" i="17"/>
  <c r="AP31" i="17"/>
  <c r="AO31" i="17"/>
  <c r="AN31" i="17"/>
  <c r="AM31" i="17"/>
  <c r="AL31" i="17"/>
  <c r="AK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J31" i="17"/>
  <c r="I31" i="17"/>
  <c r="G31" i="17"/>
  <c r="BE30" i="17"/>
  <c r="BD30" i="17"/>
  <c r="I30" i="17"/>
  <c r="G30" i="17"/>
  <c r="I29" i="17"/>
  <c r="G29" i="17"/>
  <c r="BT25" i="17"/>
  <c r="BS25" i="17"/>
  <c r="BR25" i="17"/>
  <c r="BQ25" i="17"/>
  <c r="BO25" i="17"/>
  <c r="BN25" i="17"/>
  <c r="BM25" i="17"/>
  <c r="BL25" i="17"/>
  <c r="BK25" i="17"/>
  <c r="BJ25" i="17"/>
  <c r="BI25" i="17"/>
  <c r="BH25" i="17"/>
  <c r="BG25" i="17"/>
  <c r="BF25" i="17"/>
  <c r="BE25" i="17"/>
  <c r="BD25" i="17"/>
  <c r="BC25" i="17"/>
  <c r="BB25" i="17"/>
  <c r="BA25" i="17"/>
  <c r="AX25" i="17"/>
  <c r="AW25" i="17"/>
  <c r="AV25" i="17"/>
  <c r="AU25" i="17"/>
  <c r="AT25" i="17"/>
  <c r="AS25" i="17"/>
  <c r="AR25" i="17"/>
  <c r="AQ25" i="17"/>
  <c r="AP25" i="17"/>
  <c r="AO25" i="17"/>
  <c r="AN25" i="17"/>
  <c r="AM25" i="17"/>
  <c r="AL25" i="17"/>
  <c r="AK25" i="17"/>
  <c r="AJ25" i="17"/>
  <c r="AI25" i="17"/>
  <c r="AA25" i="17"/>
  <c r="V25" i="17"/>
  <c r="U25" i="17"/>
  <c r="T25" i="17"/>
  <c r="S25" i="17"/>
  <c r="R25" i="17"/>
  <c r="Q25" i="17"/>
  <c r="P25" i="17"/>
  <c r="J25" i="17"/>
  <c r="BT24" i="17"/>
  <c r="BS24" i="17"/>
  <c r="BR24" i="17"/>
  <c r="BQ24" i="17"/>
  <c r="BO24" i="17"/>
  <c r="BN24" i="17"/>
  <c r="BM24" i="17"/>
  <c r="BL24" i="17"/>
  <c r="BK24" i="17"/>
  <c r="BJ24" i="17"/>
  <c r="BI24" i="17"/>
  <c r="BH24" i="17"/>
  <c r="BG24" i="17"/>
  <c r="BF24" i="17"/>
  <c r="BE24" i="17"/>
  <c r="BD24" i="17"/>
  <c r="BC24" i="17"/>
  <c r="BB24" i="17"/>
  <c r="BA24" i="17"/>
  <c r="AX24" i="17"/>
  <c r="AW24" i="17"/>
  <c r="AV24" i="17"/>
  <c r="AU24" i="17"/>
  <c r="AT24" i="17"/>
  <c r="AS24" i="17"/>
  <c r="AR24" i="17"/>
  <c r="AQ24" i="17"/>
  <c r="AP24" i="17"/>
  <c r="AO24" i="17"/>
  <c r="AN24" i="17"/>
  <c r="AM24" i="17"/>
  <c r="AL24" i="17"/>
  <c r="AK24" i="17"/>
  <c r="AJ24" i="17"/>
  <c r="AI24" i="17"/>
  <c r="AA24" i="17"/>
  <c r="V24" i="17"/>
  <c r="U24" i="17"/>
  <c r="T24" i="17"/>
  <c r="S24" i="17"/>
  <c r="R24" i="17"/>
  <c r="Q24" i="17"/>
  <c r="P24" i="17"/>
  <c r="J24" i="17"/>
  <c r="B24" i="17"/>
  <c r="BT23" i="17"/>
  <c r="BS23" i="17"/>
  <c r="BR23" i="17"/>
  <c r="BQ23" i="17"/>
  <c r="BO23" i="17"/>
  <c r="BN23" i="17"/>
  <c r="BM23" i="17"/>
  <c r="BL23" i="17"/>
  <c r="BK23" i="17"/>
  <c r="BJ23" i="17"/>
  <c r="BI23" i="17"/>
  <c r="BH23" i="17"/>
  <c r="BG23" i="17"/>
  <c r="BF23" i="17"/>
  <c r="BE23" i="17"/>
  <c r="BD23" i="17"/>
  <c r="BC23" i="17"/>
  <c r="BB23" i="17"/>
  <c r="BA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A23" i="17"/>
  <c r="V23" i="17"/>
  <c r="U23" i="17"/>
  <c r="T23" i="17"/>
  <c r="S23" i="17"/>
  <c r="R23" i="17"/>
  <c r="Q23" i="17"/>
  <c r="P23" i="17"/>
  <c r="J23" i="17"/>
  <c r="B23" i="17"/>
  <c r="BT22" i="17"/>
  <c r="BS22" i="17"/>
  <c r="BR22" i="17"/>
  <c r="BQ22" i="17"/>
  <c r="BO22" i="17"/>
  <c r="BN22" i="17"/>
  <c r="BM22" i="17"/>
  <c r="BL22" i="17"/>
  <c r="BK22" i="17"/>
  <c r="BJ22" i="17"/>
  <c r="BI22" i="17"/>
  <c r="BH22" i="17"/>
  <c r="BG22" i="17"/>
  <c r="BF22" i="17"/>
  <c r="BE22" i="17"/>
  <c r="BD22" i="17"/>
  <c r="BC22" i="17"/>
  <c r="BB22" i="17"/>
  <c r="BA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A22" i="17"/>
  <c r="V22" i="17"/>
  <c r="U22" i="17"/>
  <c r="T22" i="17"/>
  <c r="S22" i="17"/>
  <c r="R22" i="17"/>
  <c r="Q22" i="17"/>
  <c r="P22" i="17"/>
  <c r="J22" i="17"/>
  <c r="B22" i="17"/>
  <c r="BT21" i="17"/>
  <c r="BS21" i="17"/>
  <c r="BR21" i="17"/>
  <c r="BQ21" i="17"/>
  <c r="BO21" i="17"/>
  <c r="BN21" i="17"/>
  <c r="BM21" i="17"/>
  <c r="BL21" i="17"/>
  <c r="BK21" i="17"/>
  <c r="BJ21" i="17"/>
  <c r="BI21" i="17"/>
  <c r="BH21" i="17"/>
  <c r="BG21" i="17"/>
  <c r="BF21" i="17"/>
  <c r="BE21" i="17"/>
  <c r="BD21" i="17"/>
  <c r="BC21" i="17"/>
  <c r="BB21" i="17"/>
  <c r="BA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A21" i="17"/>
  <c r="V21" i="17"/>
  <c r="U21" i="17"/>
  <c r="T21" i="17"/>
  <c r="S21" i="17"/>
  <c r="R21" i="17"/>
  <c r="Q21" i="17"/>
  <c r="P21" i="17"/>
  <c r="J21" i="17"/>
  <c r="BT20" i="17"/>
  <c r="BS20" i="17"/>
  <c r="BR20" i="17"/>
  <c r="BQ20" i="17"/>
  <c r="BO20" i="17"/>
  <c r="BN20" i="17"/>
  <c r="BM20" i="17"/>
  <c r="BL20" i="17"/>
  <c r="BK20" i="17"/>
  <c r="BJ20" i="17"/>
  <c r="BI20" i="17"/>
  <c r="BH20" i="17"/>
  <c r="BG20" i="17"/>
  <c r="BF20" i="17"/>
  <c r="BE20" i="17"/>
  <c r="BD20" i="17"/>
  <c r="BC20" i="17"/>
  <c r="BB20" i="17"/>
  <c r="BA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A20" i="17"/>
  <c r="V20" i="17"/>
  <c r="U20" i="17"/>
  <c r="T20" i="17"/>
  <c r="S20" i="17"/>
  <c r="R20" i="17"/>
  <c r="Q20" i="17"/>
  <c r="P20" i="17"/>
  <c r="J20" i="17"/>
  <c r="B20" i="17"/>
  <c r="BT19" i="17"/>
  <c r="BS19" i="17"/>
  <c r="BR19" i="17"/>
  <c r="BQ19" i="17"/>
  <c r="BO19" i="17"/>
  <c r="BN19" i="17"/>
  <c r="BM19" i="17"/>
  <c r="BL19" i="17"/>
  <c r="BK19" i="17"/>
  <c r="BJ19" i="17"/>
  <c r="BI19" i="17"/>
  <c r="BH19" i="17"/>
  <c r="BG19" i="17"/>
  <c r="BF19" i="17"/>
  <c r="BE19" i="17"/>
  <c r="BD19" i="17"/>
  <c r="BC19" i="17"/>
  <c r="BB19" i="17"/>
  <c r="BA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A19" i="17"/>
  <c r="V19" i="17"/>
  <c r="U19" i="17"/>
  <c r="T19" i="17"/>
  <c r="S19" i="17"/>
  <c r="R19" i="17"/>
  <c r="Q19" i="17"/>
  <c r="P19" i="17"/>
  <c r="J19" i="17"/>
  <c r="B19" i="17"/>
  <c r="BT18" i="17"/>
  <c r="BS18" i="17"/>
  <c r="BR18" i="17"/>
  <c r="BQ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A18" i="17"/>
  <c r="V18" i="17"/>
  <c r="U18" i="17"/>
  <c r="T18" i="17"/>
  <c r="S18" i="17"/>
  <c r="R18" i="17"/>
  <c r="Q18" i="17"/>
  <c r="P18" i="17"/>
  <c r="J18" i="17"/>
  <c r="B18" i="17"/>
  <c r="B17" i="17"/>
  <c r="B16" i="17"/>
  <c r="B15" i="17"/>
  <c r="AV13" i="17"/>
  <c r="AU13" i="17"/>
  <c r="AT13" i="17"/>
  <c r="AS13" i="17"/>
  <c r="AR13" i="17"/>
  <c r="AQ13" i="17"/>
  <c r="AP13" i="17"/>
  <c r="AO13" i="17"/>
  <c r="AN13" i="17"/>
  <c r="AM13" i="17"/>
  <c r="AL13" i="17"/>
  <c r="AK13" i="17"/>
  <c r="AA13" i="17"/>
  <c r="V13" i="17"/>
  <c r="U13" i="17"/>
  <c r="T13" i="17"/>
  <c r="S13" i="17"/>
  <c r="R13" i="17"/>
  <c r="Q13" i="17"/>
  <c r="P13" i="17"/>
  <c r="J13" i="17"/>
  <c r="AV12" i="17"/>
  <c r="AU12" i="17"/>
  <c r="AT12" i="17"/>
  <c r="AS12" i="17"/>
  <c r="AR12" i="17"/>
  <c r="AQ12" i="17"/>
  <c r="AP12" i="17"/>
  <c r="AO12" i="17"/>
  <c r="AN12" i="17"/>
  <c r="AM12" i="17"/>
  <c r="AL12" i="17"/>
  <c r="AK12" i="17"/>
  <c r="AA12" i="17"/>
  <c r="V12" i="17"/>
  <c r="U12" i="17"/>
  <c r="T12" i="17"/>
  <c r="S12" i="17"/>
  <c r="R12" i="17"/>
  <c r="Q12" i="17"/>
  <c r="P12" i="17"/>
  <c r="J12" i="17"/>
  <c r="AV11" i="17"/>
  <c r="AU11" i="17"/>
  <c r="AT11" i="17"/>
  <c r="AS11" i="17"/>
  <c r="AR11" i="17"/>
  <c r="AQ11" i="17"/>
  <c r="AP11" i="17"/>
  <c r="AO11" i="17"/>
  <c r="AN11" i="17"/>
  <c r="AM11" i="17"/>
  <c r="AL11" i="17"/>
  <c r="AK11" i="17"/>
  <c r="AA11" i="17"/>
  <c r="V11" i="17"/>
  <c r="U11" i="17"/>
  <c r="T11" i="17"/>
  <c r="S11" i="17"/>
  <c r="R11" i="17"/>
  <c r="Q11" i="17"/>
  <c r="P11" i="17"/>
  <c r="J11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A10" i="17"/>
  <c r="V10" i="17"/>
  <c r="U10" i="17"/>
  <c r="T10" i="17"/>
  <c r="S10" i="17"/>
  <c r="R10" i="17"/>
  <c r="Q10" i="17"/>
  <c r="P10" i="17"/>
  <c r="J10" i="17"/>
  <c r="B10" i="17"/>
  <c r="AV9" i="17"/>
  <c r="AU9" i="17"/>
  <c r="AT9" i="17"/>
  <c r="AS9" i="17"/>
  <c r="AR9" i="17"/>
  <c r="AQ9" i="17"/>
  <c r="AP9" i="17"/>
  <c r="AO9" i="17"/>
  <c r="AN9" i="17"/>
  <c r="AM9" i="17"/>
  <c r="AL9" i="17"/>
  <c r="AK9" i="17"/>
  <c r="AA9" i="17"/>
  <c r="V9" i="17"/>
  <c r="U9" i="17"/>
  <c r="T9" i="17"/>
  <c r="S9" i="17"/>
  <c r="R9" i="17"/>
  <c r="Q9" i="17"/>
  <c r="P9" i="17"/>
  <c r="J9" i="17"/>
  <c r="AV8" i="17"/>
  <c r="AU8" i="17"/>
  <c r="AT8" i="17"/>
  <c r="AS8" i="17"/>
  <c r="AR8" i="17"/>
  <c r="AQ8" i="17"/>
  <c r="AP8" i="17"/>
  <c r="AO8" i="17"/>
  <c r="AN8" i="17"/>
  <c r="AM8" i="17"/>
  <c r="AL8" i="17"/>
  <c r="AK8" i="17"/>
  <c r="AA8" i="17"/>
  <c r="V8" i="17"/>
  <c r="U8" i="17"/>
  <c r="T8" i="17"/>
  <c r="S8" i="17"/>
  <c r="R8" i="17"/>
  <c r="Q8" i="17"/>
  <c r="P8" i="17"/>
  <c r="J8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A7" i="17"/>
  <c r="V7" i="17"/>
  <c r="U7" i="17"/>
  <c r="T7" i="17"/>
  <c r="S7" i="17"/>
  <c r="R7" i="17"/>
  <c r="Q7" i="17"/>
  <c r="P7" i="17"/>
  <c r="J7" i="17"/>
  <c r="AV6" i="17"/>
  <c r="AU6" i="17"/>
  <c r="AT6" i="17"/>
  <c r="AS6" i="17"/>
  <c r="AR6" i="17"/>
  <c r="AQ6" i="17"/>
  <c r="AP6" i="17"/>
  <c r="AO6" i="17"/>
  <c r="AN6" i="17"/>
  <c r="AM6" i="17"/>
  <c r="AL6" i="17"/>
  <c r="AK6" i="17"/>
  <c r="AA6" i="17"/>
  <c r="V6" i="17"/>
  <c r="U6" i="17"/>
  <c r="T6" i="17"/>
  <c r="S6" i="17"/>
  <c r="R6" i="17"/>
  <c r="Q6" i="17"/>
  <c r="P6" i="17"/>
  <c r="J6" i="17"/>
  <c r="H274" i="1"/>
  <c r="G274" i="1"/>
  <c r="F274" i="1"/>
  <c r="E274" i="1"/>
  <c r="D274" i="1"/>
  <c r="C274" i="1"/>
  <c r="B274" i="1"/>
  <c r="H273" i="1"/>
  <c r="G273" i="1"/>
  <c r="F273" i="1"/>
  <c r="E273" i="1"/>
  <c r="D273" i="1"/>
  <c r="C273" i="1"/>
  <c r="B273" i="1"/>
  <c r="H272" i="1"/>
  <c r="G272" i="1"/>
  <c r="F272" i="1"/>
  <c r="E272" i="1"/>
  <c r="D272" i="1"/>
  <c r="C272" i="1"/>
  <c r="B272" i="1"/>
  <c r="H271" i="1"/>
  <c r="G271" i="1"/>
  <c r="F271" i="1"/>
  <c r="E271" i="1"/>
  <c r="D271" i="1"/>
  <c r="C271" i="1"/>
  <c r="B271" i="1"/>
  <c r="H270" i="1"/>
  <c r="G270" i="1"/>
  <c r="F270" i="1"/>
  <c r="E270" i="1"/>
  <c r="D270" i="1"/>
  <c r="C270" i="1"/>
  <c r="B270" i="1"/>
  <c r="H269" i="1"/>
  <c r="G269" i="1"/>
  <c r="F269" i="1"/>
  <c r="E269" i="1"/>
  <c r="D269" i="1"/>
  <c r="C269" i="1"/>
  <c r="B269" i="1"/>
  <c r="H268" i="1"/>
  <c r="G268" i="1"/>
  <c r="F268" i="1"/>
  <c r="E268" i="1"/>
  <c r="D268" i="1"/>
  <c r="C268" i="1"/>
  <c r="B268" i="1"/>
  <c r="H267" i="1"/>
  <c r="G267" i="1"/>
  <c r="F267" i="1"/>
  <c r="E267" i="1"/>
  <c r="D267" i="1"/>
  <c r="C267" i="1"/>
  <c r="B267" i="1"/>
  <c r="H266" i="1"/>
  <c r="G266" i="1"/>
  <c r="F266" i="1"/>
  <c r="E266" i="1"/>
  <c r="D266" i="1"/>
  <c r="C266" i="1"/>
  <c r="B266" i="1"/>
  <c r="H265" i="1"/>
  <c r="G265" i="1"/>
  <c r="F265" i="1"/>
  <c r="E265" i="1"/>
  <c r="D265" i="1"/>
  <c r="C265" i="1"/>
  <c r="B265" i="1"/>
  <c r="H264" i="1"/>
  <c r="G264" i="1"/>
  <c r="F264" i="1"/>
  <c r="E264" i="1"/>
  <c r="D264" i="1"/>
  <c r="C264" i="1"/>
  <c r="B264" i="1"/>
  <c r="H263" i="1"/>
  <c r="G263" i="1"/>
  <c r="F263" i="1"/>
  <c r="E263" i="1"/>
  <c r="D263" i="1"/>
  <c r="C263" i="1"/>
  <c r="B263" i="1"/>
  <c r="H262" i="1"/>
  <c r="G262" i="1"/>
  <c r="F262" i="1"/>
  <c r="E262" i="1"/>
  <c r="D262" i="1"/>
  <c r="C262" i="1"/>
  <c r="B262" i="1"/>
  <c r="H261" i="1"/>
  <c r="G261" i="1"/>
  <c r="F261" i="1"/>
  <c r="E261" i="1"/>
  <c r="D261" i="1"/>
  <c r="C261" i="1"/>
  <c r="B261" i="1"/>
  <c r="H259" i="1"/>
  <c r="G259" i="1"/>
  <c r="F259" i="1"/>
  <c r="E259" i="1"/>
  <c r="D259" i="1"/>
  <c r="C259" i="1"/>
  <c r="B259" i="1"/>
  <c r="H258" i="1"/>
  <c r="G258" i="1"/>
  <c r="F258" i="1"/>
  <c r="E258" i="1"/>
  <c r="D258" i="1"/>
  <c r="C258" i="1"/>
  <c r="B258" i="1"/>
  <c r="H257" i="1"/>
  <c r="G257" i="1"/>
  <c r="F257" i="1"/>
  <c r="E257" i="1"/>
  <c r="D257" i="1"/>
  <c r="C257" i="1"/>
  <c r="B257" i="1"/>
  <c r="H256" i="1"/>
  <c r="G256" i="1"/>
  <c r="F256" i="1"/>
  <c r="E256" i="1"/>
  <c r="D256" i="1"/>
  <c r="C256" i="1"/>
  <c r="B256" i="1"/>
  <c r="H254" i="1"/>
  <c r="G254" i="1"/>
  <c r="F254" i="1"/>
  <c r="E254" i="1"/>
  <c r="D254" i="1"/>
  <c r="C254" i="1"/>
  <c r="B254" i="1"/>
  <c r="H253" i="1"/>
  <c r="G253" i="1"/>
  <c r="F253" i="1"/>
  <c r="E253" i="1"/>
  <c r="D253" i="1"/>
  <c r="C253" i="1"/>
  <c r="B253" i="1"/>
  <c r="H252" i="1"/>
  <c r="G252" i="1"/>
  <c r="F252" i="1"/>
  <c r="E252" i="1"/>
  <c r="D252" i="1"/>
  <c r="C252" i="1"/>
  <c r="B252" i="1"/>
  <c r="H251" i="1"/>
  <c r="G251" i="1"/>
  <c r="F251" i="1"/>
  <c r="E251" i="1"/>
  <c r="D251" i="1"/>
  <c r="C251" i="1"/>
  <c r="B251" i="1"/>
  <c r="H250" i="1"/>
  <c r="G250" i="1"/>
  <c r="F250" i="1"/>
  <c r="E250" i="1"/>
  <c r="D250" i="1"/>
  <c r="C250" i="1"/>
  <c r="B250" i="1"/>
  <c r="H249" i="1"/>
  <c r="G249" i="1"/>
  <c r="F249" i="1"/>
  <c r="E249" i="1"/>
  <c r="D249" i="1"/>
  <c r="C249" i="1"/>
  <c r="B249" i="1"/>
  <c r="H248" i="1"/>
  <c r="G248" i="1"/>
  <c r="F248" i="1"/>
  <c r="E248" i="1"/>
  <c r="D248" i="1"/>
  <c r="C248" i="1"/>
  <c r="B248" i="1"/>
  <c r="H247" i="1"/>
  <c r="G247" i="1"/>
  <c r="F247" i="1"/>
  <c r="E247" i="1"/>
  <c r="D247" i="1"/>
  <c r="C247" i="1"/>
  <c r="B247" i="1"/>
  <c r="H246" i="1"/>
  <c r="G246" i="1"/>
  <c r="F246" i="1"/>
  <c r="E246" i="1"/>
  <c r="D246" i="1"/>
  <c r="C246" i="1"/>
  <c r="B246" i="1"/>
  <c r="H245" i="1"/>
  <c r="G245" i="1"/>
  <c r="F245" i="1"/>
  <c r="E245" i="1"/>
  <c r="D245" i="1"/>
  <c r="C245" i="1"/>
  <c r="B245" i="1"/>
  <c r="H244" i="1"/>
  <c r="G244" i="1"/>
  <c r="F244" i="1"/>
  <c r="E244" i="1"/>
  <c r="D244" i="1"/>
  <c r="C244" i="1"/>
  <c r="B244" i="1"/>
  <c r="H243" i="1"/>
  <c r="G243" i="1"/>
  <c r="F243" i="1"/>
  <c r="E243" i="1"/>
  <c r="D243" i="1"/>
  <c r="C243" i="1"/>
  <c r="B243" i="1"/>
  <c r="H242" i="1"/>
  <c r="G242" i="1"/>
  <c r="F242" i="1"/>
  <c r="E242" i="1"/>
  <c r="D242" i="1"/>
  <c r="C242" i="1"/>
  <c r="B242" i="1"/>
  <c r="H241" i="1"/>
  <c r="G241" i="1"/>
  <c r="F241" i="1"/>
  <c r="E241" i="1"/>
  <c r="D241" i="1"/>
  <c r="C241" i="1"/>
  <c r="B241" i="1"/>
  <c r="H239" i="1"/>
  <c r="G239" i="1"/>
  <c r="F239" i="1"/>
  <c r="E239" i="1"/>
  <c r="D239" i="1"/>
  <c r="C239" i="1"/>
  <c r="B239" i="1"/>
  <c r="H238" i="1"/>
  <c r="G238" i="1"/>
  <c r="F238" i="1"/>
  <c r="E238" i="1"/>
  <c r="D238" i="1"/>
  <c r="C238" i="1"/>
  <c r="B238" i="1"/>
  <c r="H237" i="1"/>
  <c r="G237" i="1"/>
  <c r="F237" i="1"/>
  <c r="E237" i="1"/>
  <c r="D237" i="1"/>
  <c r="C237" i="1"/>
  <c r="B237" i="1"/>
  <c r="H236" i="1"/>
  <c r="G236" i="1"/>
  <c r="F236" i="1"/>
  <c r="E236" i="1"/>
  <c r="D236" i="1"/>
  <c r="C236" i="1"/>
  <c r="B236" i="1"/>
  <c r="G235" i="1"/>
  <c r="G234" i="1"/>
  <c r="B234" i="1"/>
  <c r="G233" i="1"/>
  <c r="G232" i="1"/>
  <c r="B232" i="1"/>
  <c r="G231" i="1"/>
  <c r="B231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H218" i="1"/>
  <c r="G218" i="1"/>
  <c r="F218" i="1"/>
  <c r="E218" i="1"/>
  <c r="D218" i="1"/>
  <c r="C218" i="1"/>
  <c r="B218" i="1"/>
  <c r="H217" i="1"/>
  <c r="G217" i="1"/>
  <c r="F217" i="1"/>
  <c r="E217" i="1"/>
  <c r="D217" i="1"/>
  <c r="C217" i="1"/>
  <c r="B217" i="1"/>
  <c r="H216" i="1"/>
  <c r="G216" i="1"/>
  <c r="F216" i="1"/>
  <c r="E216" i="1"/>
  <c r="D216" i="1"/>
  <c r="C216" i="1"/>
  <c r="B216" i="1"/>
  <c r="H215" i="1"/>
  <c r="G215" i="1"/>
  <c r="F215" i="1"/>
  <c r="E215" i="1"/>
  <c r="D215" i="1"/>
  <c r="C215" i="1"/>
  <c r="B215" i="1"/>
  <c r="H214" i="1"/>
  <c r="G214" i="1"/>
  <c r="F214" i="1"/>
  <c r="E214" i="1"/>
  <c r="D214" i="1"/>
  <c r="C214" i="1"/>
  <c r="B214" i="1"/>
  <c r="H213" i="1"/>
  <c r="G213" i="1"/>
  <c r="F213" i="1"/>
  <c r="E213" i="1"/>
  <c r="D213" i="1"/>
  <c r="C213" i="1"/>
  <c r="B213" i="1"/>
  <c r="H212" i="1"/>
  <c r="G212" i="1"/>
  <c r="F212" i="1"/>
  <c r="E212" i="1"/>
  <c r="D212" i="1"/>
  <c r="C212" i="1"/>
  <c r="B212" i="1"/>
  <c r="H211" i="1"/>
  <c r="G211" i="1"/>
  <c r="F211" i="1"/>
  <c r="E211" i="1"/>
  <c r="D211" i="1"/>
  <c r="C211" i="1"/>
  <c r="B211" i="1"/>
  <c r="H210" i="1"/>
  <c r="G210" i="1"/>
  <c r="F210" i="1"/>
  <c r="E210" i="1"/>
  <c r="D210" i="1"/>
  <c r="C210" i="1"/>
  <c r="B210" i="1"/>
  <c r="H209" i="1"/>
  <c r="G209" i="1"/>
  <c r="F209" i="1"/>
  <c r="E209" i="1"/>
  <c r="D209" i="1"/>
  <c r="C209" i="1"/>
  <c r="B209" i="1"/>
  <c r="H208" i="1"/>
  <c r="G208" i="1"/>
  <c r="F208" i="1"/>
  <c r="E208" i="1"/>
  <c r="D208" i="1"/>
  <c r="C208" i="1"/>
  <c r="B208" i="1"/>
  <c r="H207" i="1"/>
  <c r="G207" i="1"/>
  <c r="F207" i="1"/>
  <c r="E207" i="1"/>
  <c r="D207" i="1"/>
  <c r="C207" i="1"/>
  <c r="B207" i="1"/>
  <c r="H206" i="1"/>
  <c r="G206" i="1"/>
  <c r="F206" i="1"/>
  <c r="E206" i="1"/>
  <c r="D206" i="1"/>
  <c r="C206" i="1"/>
  <c r="B206" i="1"/>
  <c r="H205" i="1"/>
  <c r="G205" i="1"/>
  <c r="F205" i="1"/>
  <c r="E205" i="1"/>
  <c r="D205" i="1"/>
  <c r="C205" i="1"/>
  <c r="B205" i="1"/>
  <c r="H204" i="1"/>
  <c r="G204" i="1"/>
  <c r="F204" i="1"/>
  <c r="E204" i="1"/>
  <c r="D204" i="1"/>
  <c r="C204" i="1"/>
  <c r="B204" i="1"/>
  <c r="H203" i="1"/>
  <c r="G203" i="1"/>
  <c r="F203" i="1"/>
  <c r="E203" i="1"/>
  <c r="D203" i="1"/>
  <c r="C203" i="1"/>
  <c r="B203" i="1"/>
  <c r="H202" i="1"/>
  <c r="G202" i="1"/>
  <c r="F202" i="1"/>
  <c r="E202" i="1"/>
  <c r="D202" i="1"/>
  <c r="C202" i="1"/>
  <c r="B202" i="1"/>
  <c r="H201" i="1"/>
  <c r="G201" i="1"/>
  <c r="F201" i="1"/>
  <c r="E201" i="1"/>
  <c r="D201" i="1"/>
  <c r="C201" i="1"/>
  <c r="B201" i="1"/>
  <c r="H200" i="1"/>
  <c r="G200" i="1"/>
  <c r="F200" i="1"/>
  <c r="E200" i="1"/>
  <c r="D200" i="1"/>
  <c r="C200" i="1"/>
  <c r="B200" i="1"/>
  <c r="H199" i="1"/>
  <c r="G199" i="1"/>
  <c r="F199" i="1"/>
  <c r="E199" i="1"/>
  <c r="D199" i="1"/>
  <c r="C199" i="1"/>
  <c r="B199" i="1"/>
  <c r="H198" i="1"/>
  <c r="G198" i="1"/>
  <c r="F198" i="1"/>
  <c r="E198" i="1"/>
  <c r="D198" i="1"/>
  <c r="C198" i="1"/>
  <c r="B198" i="1"/>
  <c r="H197" i="1"/>
  <c r="G197" i="1"/>
  <c r="F197" i="1"/>
  <c r="E197" i="1"/>
  <c r="D197" i="1"/>
  <c r="C197" i="1"/>
  <c r="B197" i="1"/>
  <c r="H196" i="1"/>
  <c r="G196" i="1"/>
  <c r="F196" i="1"/>
  <c r="E196" i="1"/>
  <c r="D196" i="1"/>
  <c r="C196" i="1"/>
  <c r="B196" i="1"/>
  <c r="H195" i="1"/>
  <c r="G195" i="1"/>
  <c r="F195" i="1"/>
  <c r="E195" i="1"/>
  <c r="D195" i="1"/>
  <c r="C195" i="1"/>
  <c r="B195" i="1"/>
  <c r="H192" i="1"/>
  <c r="G192" i="1"/>
  <c r="F192" i="1"/>
  <c r="E192" i="1"/>
  <c r="D192" i="1"/>
  <c r="C192" i="1"/>
  <c r="B192" i="1"/>
  <c r="H191" i="1"/>
  <c r="G191" i="1"/>
  <c r="F191" i="1"/>
  <c r="E191" i="1"/>
  <c r="D191" i="1"/>
  <c r="C191" i="1"/>
  <c r="B191" i="1"/>
  <c r="H190" i="1"/>
  <c r="G190" i="1"/>
  <c r="F190" i="1"/>
  <c r="E190" i="1"/>
  <c r="D190" i="1"/>
  <c r="C190" i="1"/>
  <c r="B190" i="1"/>
  <c r="H189" i="1"/>
  <c r="G189" i="1"/>
  <c r="F189" i="1"/>
  <c r="E189" i="1"/>
  <c r="D189" i="1"/>
  <c r="C189" i="1"/>
  <c r="B189" i="1"/>
  <c r="H188" i="1"/>
  <c r="G188" i="1"/>
  <c r="F188" i="1"/>
  <c r="E188" i="1"/>
  <c r="D188" i="1"/>
  <c r="C188" i="1"/>
  <c r="B188" i="1"/>
  <c r="H187" i="1"/>
  <c r="G187" i="1"/>
  <c r="F187" i="1"/>
  <c r="E187" i="1"/>
  <c r="D187" i="1"/>
  <c r="C187" i="1"/>
  <c r="B187" i="1"/>
  <c r="H186" i="1"/>
  <c r="G186" i="1"/>
  <c r="F186" i="1"/>
  <c r="E186" i="1"/>
  <c r="D186" i="1"/>
  <c r="C186" i="1"/>
  <c r="B186" i="1"/>
  <c r="H185" i="1"/>
  <c r="G185" i="1"/>
  <c r="F185" i="1"/>
  <c r="E185" i="1"/>
  <c r="D185" i="1"/>
  <c r="C185" i="1"/>
  <c r="B185" i="1"/>
  <c r="H184" i="1"/>
  <c r="G184" i="1"/>
  <c r="F184" i="1"/>
  <c r="E184" i="1"/>
  <c r="D184" i="1"/>
  <c r="C184" i="1"/>
  <c r="B184" i="1"/>
  <c r="H183" i="1"/>
  <c r="G183" i="1"/>
  <c r="F183" i="1"/>
  <c r="E183" i="1"/>
  <c r="D183" i="1"/>
  <c r="C183" i="1"/>
  <c r="B183" i="1"/>
  <c r="H182" i="1"/>
  <c r="G182" i="1"/>
  <c r="F182" i="1"/>
  <c r="E182" i="1"/>
  <c r="D182" i="1"/>
  <c r="C182" i="1"/>
  <c r="B182" i="1"/>
  <c r="H181" i="1"/>
  <c r="G181" i="1"/>
  <c r="F181" i="1"/>
  <c r="E181" i="1"/>
  <c r="D181" i="1"/>
  <c r="C181" i="1"/>
  <c r="B181" i="1"/>
  <c r="H180" i="1"/>
  <c r="G180" i="1"/>
  <c r="F180" i="1"/>
  <c r="E180" i="1"/>
  <c r="D180" i="1"/>
  <c r="C180" i="1"/>
  <c r="B180" i="1"/>
  <c r="H179" i="1"/>
  <c r="G179" i="1"/>
  <c r="F179" i="1"/>
  <c r="E179" i="1"/>
  <c r="D179" i="1"/>
  <c r="C179" i="1"/>
  <c r="B179" i="1"/>
  <c r="H178" i="1"/>
  <c r="G178" i="1"/>
  <c r="F178" i="1"/>
  <c r="E178" i="1"/>
  <c r="D178" i="1"/>
  <c r="C178" i="1"/>
  <c r="B178" i="1"/>
  <c r="H177" i="1"/>
  <c r="G177" i="1"/>
  <c r="F177" i="1"/>
  <c r="E177" i="1"/>
  <c r="D177" i="1"/>
  <c r="C177" i="1"/>
  <c r="B177" i="1"/>
  <c r="H176" i="1"/>
  <c r="G176" i="1"/>
  <c r="F176" i="1"/>
  <c r="E176" i="1"/>
  <c r="D176" i="1"/>
  <c r="C176" i="1"/>
  <c r="B176" i="1"/>
  <c r="H175" i="1"/>
  <c r="G175" i="1"/>
  <c r="F175" i="1"/>
  <c r="E175" i="1"/>
  <c r="D175" i="1"/>
  <c r="C175" i="1"/>
  <c r="B175" i="1"/>
  <c r="H173" i="1"/>
  <c r="G173" i="1"/>
  <c r="F173" i="1"/>
  <c r="E173" i="1"/>
  <c r="D173" i="1"/>
  <c r="C173" i="1"/>
  <c r="B173" i="1"/>
  <c r="H172" i="1"/>
  <c r="G172" i="1"/>
  <c r="F172" i="1"/>
  <c r="E172" i="1"/>
  <c r="D172" i="1"/>
  <c r="C172" i="1"/>
  <c r="B172" i="1"/>
  <c r="H171" i="1"/>
  <c r="G171" i="1"/>
  <c r="F171" i="1"/>
  <c r="E171" i="1"/>
  <c r="D171" i="1"/>
  <c r="C171" i="1"/>
  <c r="B171" i="1"/>
  <c r="H170" i="1"/>
  <c r="G170" i="1"/>
  <c r="F170" i="1"/>
  <c r="E170" i="1"/>
  <c r="D170" i="1"/>
  <c r="C170" i="1"/>
  <c r="B170" i="1"/>
  <c r="H169" i="1"/>
  <c r="G169" i="1"/>
  <c r="F169" i="1"/>
  <c r="E169" i="1"/>
  <c r="D169" i="1"/>
  <c r="C169" i="1"/>
  <c r="B169" i="1"/>
  <c r="B162" i="1"/>
  <c r="E161" i="1"/>
  <c r="E160" i="1"/>
  <c r="E159" i="1"/>
  <c r="B159" i="1"/>
  <c r="B157" i="1"/>
  <c r="B156" i="1"/>
  <c r="B155" i="1"/>
  <c r="B154" i="1"/>
  <c r="B153" i="1"/>
  <c r="B152" i="1"/>
  <c r="H147" i="1"/>
  <c r="G147" i="1"/>
  <c r="F147" i="1"/>
  <c r="E147" i="1"/>
  <c r="D147" i="1"/>
  <c r="C147" i="1"/>
  <c r="B147" i="1"/>
  <c r="H146" i="1"/>
  <c r="G146" i="1"/>
  <c r="F146" i="1"/>
  <c r="E146" i="1"/>
  <c r="D146" i="1"/>
  <c r="C146" i="1"/>
  <c r="B146" i="1"/>
  <c r="H145" i="1"/>
  <c r="G145" i="1"/>
  <c r="F145" i="1"/>
  <c r="E145" i="1"/>
  <c r="D145" i="1"/>
  <c r="C145" i="1"/>
  <c r="B145" i="1"/>
  <c r="H144" i="1"/>
  <c r="G144" i="1"/>
  <c r="F144" i="1"/>
  <c r="E144" i="1"/>
  <c r="D144" i="1"/>
  <c r="C144" i="1"/>
  <c r="B144" i="1"/>
  <c r="H143" i="1"/>
  <c r="G143" i="1"/>
  <c r="F143" i="1"/>
  <c r="E143" i="1"/>
  <c r="D143" i="1"/>
  <c r="C143" i="1"/>
  <c r="B143" i="1"/>
  <c r="H138" i="1"/>
  <c r="G138" i="1"/>
  <c r="F138" i="1"/>
  <c r="E138" i="1"/>
  <c r="D138" i="1"/>
  <c r="C138" i="1"/>
  <c r="B138" i="1"/>
  <c r="H137" i="1"/>
  <c r="G137" i="1"/>
  <c r="F137" i="1"/>
  <c r="E137" i="1"/>
  <c r="D137" i="1"/>
  <c r="C137" i="1"/>
  <c r="B137" i="1"/>
  <c r="H136" i="1"/>
  <c r="G136" i="1"/>
  <c r="F136" i="1"/>
  <c r="E136" i="1"/>
  <c r="D136" i="1"/>
  <c r="C136" i="1"/>
  <c r="B136" i="1"/>
  <c r="H135" i="1"/>
  <c r="G135" i="1"/>
  <c r="F135" i="1"/>
  <c r="E135" i="1"/>
  <c r="D135" i="1"/>
  <c r="C135" i="1"/>
  <c r="B135" i="1"/>
  <c r="H134" i="1"/>
  <c r="G134" i="1"/>
  <c r="F134" i="1"/>
  <c r="E134" i="1"/>
  <c r="D134" i="1"/>
  <c r="C134" i="1"/>
  <c r="B134" i="1"/>
  <c r="H133" i="1"/>
  <c r="G133" i="1"/>
  <c r="F133" i="1"/>
  <c r="E133" i="1"/>
  <c r="D133" i="1"/>
  <c r="C133" i="1"/>
  <c r="B133" i="1"/>
  <c r="H132" i="1"/>
  <c r="G132" i="1"/>
  <c r="F132" i="1"/>
  <c r="E132" i="1"/>
  <c r="D132" i="1"/>
  <c r="C132" i="1"/>
  <c r="B132" i="1"/>
  <c r="H131" i="1"/>
  <c r="G131" i="1"/>
  <c r="F131" i="1"/>
  <c r="E131" i="1"/>
  <c r="D131" i="1"/>
  <c r="C131" i="1"/>
  <c r="B131" i="1"/>
  <c r="H130" i="1"/>
  <c r="G130" i="1"/>
  <c r="F130" i="1"/>
  <c r="E130" i="1"/>
  <c r="D130" i="1"/>
  <c r="C130" i="1"/>
  <c r="B130" i="1"/>
  <c r="H129" i="1"/>
  <c r="G129" i="1"/>
  <c r="F129" i="1"/>
  <c r="E129" i="1"/>
  <c r="D129" i="1"/>
  <c r="C129" i="1"/>
  <c r="B129" i="1"/>
  <c r="H128" i="1"/>
  <c r="G128" i="1"/>
  <c r="F128" i="1"/>
  <c r="E128" i="1"/>
  <c r="D128" i="1"/>
  <c r="C128" i="1"/>
  <c r="B128" i="1"/>
  <c r="H127" i="1"/>
  <c r="G127" i="1"/>
  <c r="F127" i="1"/>
  <c r="E127" i="1"/>
  <c r="D127" i="1"/>
  <c r="C127" i="1"/>
  <c r="B127" i="1"/>
  <c r="H126" i="1"/>
  <c r="G126" i="1"/>
  <c r="F126" i="1"/>
  <c r="E126" i="1"/>
  <c r="D126" i="1"/>
  <c r="C126" i="1"/>
  <c r="B126" i="1"/>
  <c r="H125" i="1"/>
  <c r="G125" i="1"/>
  <c r="F125" i="1"/>
  <c r="E125" i="1"/>
  <c r="D125" i="1"/>
  <c r="C125" i="1"/>
  <c r="B125" i="1"/>
  <c r="H124" i="1"/>
  <c r="G124" i="1"/>
  <c r="F124" i="1"/>
  <c r="E124" i="1"/>
  <c r="D124" i="1"/>
  <c r="C124" i="1"/>
  <c r="B124" i="1"/>
  <c r="H123" i="1"/>
  <c r="G123" i="1"/>
  <c r="F123" i="1"/>
  <c r="E123" i="1"/>
  <c r="D123" i="1"/>
  <c r="C123" i="1"/>
  <c r="B123" i="1"/>
  <c r="H122" i="1"/>
  <c r="G122" i="1"/>
  <c r="F122" i="1"/>
  <c r="E122" i="1"/>
  <c r="D122" i="1"/>
  <c r="C122" i="1"/>
  <c r="B122" i="1"/>
  <c r="H121" i="1"/>
  <c r="G121" i="1"/>
  <c r="F121" i="1"/>
  <c r="E121" i="1"/>
  <c r="D121" i="1"/>
  <c r="C121" i="1"/>
  <c r="B121" i="1"/>
  <c r="H120" i="1"/>
  <c r="G120" i="1"/>
  <c r="F120" i="1"/>
  <c r="E120" i="1"/>
  <c r="D120" i="1"/>
  <c r="C120" i="1"/>
  <c r="B120" i="1"/>
  <c r="H119" i="1"/>
  <c r="G119" i="1"/>
  <c r="F119" i="1"/>
  <c r="E119" i="1"/>
  <c r="D119" i="1"/>
  <c r="C119" i="1"/>
  <c r="B119" i="1"/>
  <c r="H118" i="1"/>
  <c r="G118" i="1"/>
  <c r="F118" i="1"/>
  <c r="E118" i="1"/>
  <c r="D118" i="1"/>
  <c r="C118" i="1"/>
  <c r="B118" i="1"/>
  <c r="H117" i="1"/>
  <c r="G117" i="1"/>
  <c r="F117" i="1"/>
  <c r="E117" i="1"/>
  <c r="D117" i="1"/>
  <c r="C117" i="1"/>
  <c r="B117" i="1"/>
  <c r="Z116" i="1"/>
  <c r="Y116" i="1"/>
  <c r="X116" i="1"/>
  <c r="W116" i="1"/>
  <c r="V116" i="1"/>
  <c r="U116" i="1"/>
  <c r="P116" i="1"/>
  <c r="M116" i="1"/>
  <c r="H116" i="1"/>
  <c r="G116" i="1"/>
  <c r="F116" i="1"/>
  <c r="E116" i="1"/>
  <c r="D116" i="1"/>
  <c r="C116" i="1"/>
  <c r="B116" i="1"/>
  <c r="Z115" i="1"/>
  <c r="Y115" i="1"/>
  <c r="X115" i="1"/>
  <c r="W115" i="1"/>
  <c r="V115" i="1"/>
  <c r="U115" i="1"/>
  <c r="P115" i="1"/>
  <c r="M115" i="1"/>
  <c r="H115" i="1"/>
  <c r="G115" i="1"/>
  <c r="F115" i="1"/>
  <c r="E115" i="1"/>
  <c r="D115" i="1"/>
  <c r="C115" i="1"/>
  <c r="B115" i="1"/>
  <c r="Z114" i="1"/>
  <c r="Y114" i="1"/>
  <c r="X114" i="1"/>
  <c r="W114" i="1"/>
  <c r="V114" i="1"/>
  <c r="U114" i="1"/>
  <c r="P114" i="1"/>
  <c r="M114" i="1"/>
  <c r="H114" i="1"/>
  <c r="G114" i="1"/>
  <c r="F114" i="1"/>
  <c r="E114" i="1"/>
  <c r="D114" i="1"/>
  <c r="C114" i="1"/>
  <c r="B114" i="1"/>
  <c r="Z113" i="1"/>
  <c r="Y113" i="1"/>
  <c r="X113" i="1"/>
  <c r="W113" i="1"/>
  <c r="V113" i="1"/>
  <c r="U113" i="1"/>
  <c r="P113" i="1"/>
  <c r="M113" i="1"/>
  <c r="H113" i="1"/>
  <c r="G113" i="1"/>
  <c r="F113" i="1"/>
  <c r="E113" i="1"/>
  <c r="D113" i="1"/>
  <c r="C113" i="1"/>
  <c r="B113" i="1"/>
  <c r="Z112" i="1"/>
  <c r="Y112" i="1"/>
  <c r="X112" i="1"/>
  <c r="W112" i="1"/>
  <c r="V112" i="1"/>
  <c r="U112" i="1"/>
  <c r="P112" i="1"/>
  <c r="M112" i="1"/>
  <c r="H112" i="1"/>
  <c r="G112" i="1"/>
  <c r="F112" i="1"/>
  <c r="E112" i="1"/>
  <c r="D112" i="1"/>
  <c r="C112" i="1"/>
  <c r="B112" i="1"/>
  <c r="Z111" i="1"/>
  <c r="Y111" i="1"/>
  <c r="X111" i="1"/>
  <c r="W111" i="1"/>
  <c r="V111" i="1"/>
  <c r="U111" i="1"/>
  <c r="P111" i="1"/>
  <c r="M111" i="1"/>
  <c r="H111" i="1"/>
  <c r="G111" i="1"/>
  <c r="F111" i="1"/>
  <c r="E111" i="1"/>
  <c r="D111" i="1"/>
  <c r="C111" i="1"/>
  <c r="B111" i="1"/>
  <c r="Z110" i="1"/>
  <c r="Y110" i="1"/>
  <c r="X110" i="1"/>
  <c r="W110" i="1"/>
  <c r="V110" i="1"/>
  <c r="U110" i="1"/>
  <c r="P110" i="1"/>
  <c r="M110" i="1"/>
  <c r="H110" i="1"/>
  <c r="G110" i="1"/>
  <c r="F110" i="1"/>
  <c r="E110" i="1"/>
  <c r="D110" i="1"/>
  <c r="C110" i="1"/>
  <c r="B110" i="1"/>
  <c r="Z109" i="1"/>
  <c r="Y109" i="1"/>
  <c r="X109" i="1"/>
  <c r="W109" i="1"/>
  <c r="V109" i="1"/>
  <c r="U109" i="1"/>
  <c r="P109" i="1"/>
  <c r="M109" i="1"/>
  <c r="H109" i="1"/>
  <c r="G109" i="1"/>
  <c r="F109" i="1"/>
  <c r="E109" i="1"/>
  <c r="D109" i="1"/>
  <c r="C109" i="1"/>
  <c r="B109" i="1"/>
  <c r="Z108" i="1"/>
  <c r="Y108" i="1"/>
  <c r="X108" i="1"/>
  <c r="W108" i="1"/>
  <c r="V108" i="1"/>
  <c r="U108" i="1"/>
  <c r="P108" i="1"/>
  <c r="M108" i="1"/>
  <c r="H108" i="1"/>
  <c r="G108" i="1"/>
  <c r="F108" i="1"/>
  <c r="E108" i="1"/>
  <c r="D108" i="1"/>
  <c r="C108" i="1"/>
  <c r="B108" i="1"/>
  <c r="Z107" i="1"/>
  <c r="Y107" i="1"/>
  <c r="X107" i="1"/>
  <c r="W107" i="1"/>
  <c r="V107" i="1"/>
  <c r="U107" i="1"/>
  <c r="P107" i="1"/>
  <c r="M107" i="1"/>
  <c r="Z106" i="1"/>
  <c r="Y106" i="1"/>
  <c r="X106" i="1"/>
  <c r="W106" i="1"/>
  <c r="V106" i="1"/>
  <c r="U106" i="1"/>
  <c r="P106" i="1"/>
  <c r="M106" i="1"/>
  <c r="H106" i="1"/>
  <c r="G106" i="1"/>
  <c r="F106" i="1"/>
  <c r="E106" i="1"/>
  <c r="D106" i="1"/>
  <c r="C106" i="1"/>
  <c r="B106" i="1"/>
  <c r="Z105" i="1"/>
  <c r="Y105" i="1"/>
  <c r="X105" i="1"/>
  <c r="W105" i="1"/>
  <c r="V105" i="1"/>
  <c r="U105" i="1"/>
  <c r="P105" i="1"/>
  <c r="M105" i="1"/>
  <c r="H105" i="1"/>
  <c r="G105" i="1"/>
  <c r="F105" i="1"/>
  <c r="E105" i="1"/>
  <c r="D105" i="1"/>
  <c r="C105" i="1"/>
  <c r="B105" i="1"/>
  <c r="Z104" i="1"/>
  <c r="Y104" i="1"/>
  <c r="X104" i="1"/>
  <c r="W104" i="1"/>
  <c r="V104" i="1"/>
  <c r="U104" i="1"/>
  <c r="P104" i="1"/>
  <c r="M104" i="1"/>
  <c r="H104" i="1"/>
  <c r="G104" i="1"/>
  <c r="F104" i="1"/>
  <c r="E104" i="1"/>
  <c r="D104" i="1"/>
  <c r="C104" i="1"/>
  <c r="B104" i="1"/>
  <c r="H103" i="1"/>
  <c r="G103" i="1"/>
  <c r="F103" i="1"/>
  <c r="E103" i="1"/>
  <c r="D103" i="1"/>
  <c r="C103" i="1"/>
  <c r="B103" i="1"/>
  <c r="H101" i="1"/>
  <c r="G101" i="1"/>
  <c r="F101" i="1"/>
  <c r="E101" i="1"/>
  <c r="D101" i="1"/>
  <c r="C101" i="1"/>
  <c r="B101" i="1"/>
  <c r="Z100" i="1"/>
  <c r="Y100" i="1"/>
  <c r="X100" i="1"/>
  <c r="W100" i="1"/>
  <c r="V100" i="1"/>
  <c r="U100" i="1"/>
  <c r="P100" i="1"/>
  <c r="M100" i="1"/>
  <c r="H100" i="1"/>
  <c r="G100" i="1"/>
  <c r="F100" i="1"/>
  <c r="E100" i="1"/>
  <c r="D100" i="1"/>
  <c r="C100" i="1"/>
  <c r="B100" i="1"/>
  <c r="Z99" i="1"/>
  <c r="Y99" i="1"/>
  <c r="X99" i="1"/>
  <c r="W99" i="1"/>
  <c r="V99" i="1"/>
  <c r="U99" i="1"/>
  <c r="P99" i="1"/>
  <c r="M99" i="1"/>
  <c r="H99" i="1"/>
  <c r="G99" i="1"/>
  <c r="F99" i="1"/>
  <c r="E99" i="1"/>
  <c r="D99" i="1"/>
  <c r="C99" i="1"/>
  <c r="B99" i="1"/>
  <c r="Z98" i="1"/>
  <c r="Y98" i="1"/>
  <c r="X98" i="1"/>
  <c r="W98" i="1"/>
  <c r="V98" i="1"/>
  <c r="U98" i="1"/>
  <c r="P98" i="1"/>
  <c r="M98" i="1"/>
  <c r="H98" i="1"/>
  <c r="G98" i="1"/>
  <c r="F98" i="1"/>
  <c r="E98" i="1"/>
  <c r="D98" i="1"/>
  <c r="C98" i="1"/>
  <c r="B98" i="1"/>
  <c r="Z97" i="1"/>
  <c r="Y97" i="1"/>
  <c r="X97" i="1"/>
  <c r="W97" i="1"/>
  <c r="V97" i="1"/>
  <c r="U97" i="1"/>
  <c r="P97" i="1"/>
  <c r="M97" i="1"/>
  <c r="H97" i="1"/>
  <c r="G97" i="1"/>
  <c r="F97" i="1"/>
  <c r="E97" i="1"/>
  <c r="D97" i="1"/>
  <c r="C97" i="1"/>
  <c r="B97" i="1"/>
  <c r="Z96" i="1"/>
  <c r="Y96" i="1"/>
  <c r="X96" i="1"/>
  <c r="W96" i="1"/>
  <c r="V96" i="1"/>
  <c r="U96" i="1"/>
  <c r="P96" i="1"/>
  <c r="M96" i="1"/>
  <c r="H96" i="1"/>
  <c r="G96" i="1"/>
  <c r="F96" i="1"/>
  <c r="E96" i="1"/>
  <c r="D96" i="1"/>
  <c r="C96" i="1"/>
  <c r="B96" i="1"/>
  <c r="Z95" i="1"/>
  <c r="Y95" i="1"/>
  <c r="X95" i="1"/>
  <c r="W95" i="1"/>
  <c r="V95" i="1"/>
  <c r="U95" i="1"/>
  <c r="P95" i="1"/>
  <c r="M95" i="1"/>
  <c r="B95" i="1"/>
  <c r="Z94" i="1"/>
  <c r="Y94" i="1"/>
  <c r="X94" i="1"/>
  <c r="W94" i="1"/>
  <c r="V94" i="1"/>
  <c r="U94" i="1"/>
  <c r="P94" i="1"/>
  <c r="M94" i="1"/>
  <c r="G94" i="1"/>
  <c r="B94" i="1"/>
  <c r="Z93" i="1"/>
  <c r="Y93" i="1"/>
  <c r="X93" i="1"/>
  <c r="W93" i="1"/>
  <c r="V93" i="1"/>
  <c r="U93" i="1"/>
  <c r="P93" i="1"/>
  <c r="M93" i="1"/>
  <c r="G93" i="1"/>
  <c r="B93" i="1"/>
  <c r="Z92" i="1"/>
  <c r="Y92" i="1"/>
  <c r="X92" i="1"/>
  <c r="W92" i="1"/>
  <c r="V92" i="1"/>
  <c r="U92" i="1"/>
  <c r="P92" i="1"/>
  <c r="M92" i="1"/>
  <c r="G92" i="1"/>
  <c r="B92" i="1"/>
  <c r="Z91" i="1"/>
  <c r="Y91" i="1"/>
  <c r="X91" i="1"/>
  <c r="W91" i="1"/>
  <c r="V91" i="1"/>
  <c r="U91" i="1"/>
  <c r="P91" i="1"/>
  <c r="M91" i="1"/>
  <c r="G91" i="1"/>
  <c r="E91" i="1"/>
  <c r="B91" i="1"/>
  <c r="Z90" i="1"/>
  <c r="Y90" i="1"/>
  <c r="X90" i="1"/>
  <c r="W90" i="1"/>
  <c r="V90" i="1"/>
  <c r="U90" i="1"/>
  <c r="P90" i="1"/>
  <c r="M90" i="1"/>
  <c r="G90" i="1"/>
  <c r="E90" i="1"/>
  <c r="B90" i="1"/>
  <c r="Z89" i="1"/>
  <c r="Y89" i="1"/>
  <c r="X89" i="1"/>
  <c r="W89" i="1"/>
  <c r="V89" i="1"/>
  <c r="U89" i="1"/>
  <c r="P89" i="1"/>
  <c r="M89" i="1"/>
  <c r="Z88" i="1"/>
  <c r="Y88" i="1"/>
  <c r="X88" i="1"/>
  <c r="W88" i="1"/>
  <c r="V88" i="1"/>
  <c r="U88" i="1"/>
  <c r="P88" i="1"/>
  <c r="M88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G83" i="1"/>
  <c r="F83" i="1"/>
  <c r="E83" i="1"/>
  <c r="D83" i="1"/>
  <c r="C83" i="1"/>
  <c r="B83" i="1"/>
  <c r="H82" i="1"/>
  <c r="G82" i="1"/>
  <c r="F82" i="1"/>
  <c r="E82" i="1"/>
  <c r="D82" i="1"/>
  <c r="C82" i="1"/>
  <c r="B82" i="1"/>
  <c r="H81" i="1"/>
  <c r="G81" i="1"/>
  <c r="F81" i="1"/>
  <c r="E81" i="1"/>
  <c r="D81" i="1"/>
  <c r="C81" i="1"/>
  <c r="B81" i="1"/>
  <c r="Q78" i="1"/>
  <c r="P78" i="1"/>
  <c r="N78" i="1"/>
  <c r="M78" i="1"/>
  <c r="L78" i="1"/>
  <c r="Q77" i="1"/>
  <c r="P77" i="1"/>
  <c r="N77" i="1"/>
  <c r="M77" i="1"/>
  <c r="L77" i="1"/>
  <c r="H76" i="1"/>
  <c r="G76" i="1"/>
  <c r="F76" i="1"/>
  <c r="E76" i="1"/>
  <c r="D76" i="1"/>
  <c r="C76" i="1"/>
  <c r="B76" i="1"/>
  <c r="H75" i="1"/>
  <c r="G75" i="1"/>
  <c r="F75" i="1"/>
  <c r="E75" i="1"/>
  <c r="D75" i="1"/>
  <c r="C75" i="1"/>
  <c r="B75" i="1"/>
  <c r="H74" i="1"/>
  <c r="G74" i="1"/>
  <c r="F74" i="1"/>
  <c r="E74" i="1"/>
  <c r="D74" i="1"/>
  <c r="C74" i="1"/>
  <c r="B74" i="1"/>
  <c r="H73" i="1"/>
  <c r="G73" i="1"/>
  <c r="F73" i="1"/>
  <c r="E73" i="1"/>
  <c r="D73" i="1"/>
  <c r="C73" i="1"/>
  <c r="B73" i="1"/>
  <c r="H72" i="1"/>
  <c r="G72" i="1"/>
  <c r="F72" i="1"/>
  <c r="E72" i="1"/>
  <c r="D72" i="1"/>
  <c r="C72" i="1"/>
  <c r="B72" i="1"/>
  <c r="H71" i="1"/>
  <c r="G71" i="1"/>
  <c r="F71" i="1"/>
  <c r="E71" i="1"/>
  <c r="D71" i="1"/>
  <c r="C71" i="1"/>
  <c r="B71" i="1"/>
  <c r="H70" i="1"/>
  <c r="G70" i="1"/>
  <c r="F70" i="1"/>
  <c r="E70" i="1"/>
  <c r="D70" i="1"/>
  <c r="C70" i="1"/>
  <c r="B70" i="1"/>
  <c r="Q69" i="1"/>
  <c r="P69" i="1"/>
  <c r="N69" i="1"/>
  <c r="M69" i="1"/>
  <c r="L69" i="1"/>
  <c r="H69" i="1"/>
  <c r="G69" i="1"/>
  <c r="F69" i="1"/>
  <c r="E69" i="1"/>
  <c r="D69" i="1"/>
  <c r="C69" i="1"/>
  <c r="B69" i="1"/>
  <c r="Q68" i="1"/>
  <c r="P68" i="1"/>
  <c r="N68" i="1"/>
  <c r="M68" i="1"/>
  <c r="L68" i="1"/>
  <c r="H68" i="1"/>
  <c r="G68" i="1"/>
  <c r="F68" i="1"/>
  <c r="E68" i="1"/>
  <c r="D68" i="1"/>
  <c r="C68" i="1"/>
  <c r="B68" i="1"/>
  <c r="H67" i="1"/>
  <c r="G67" i="1"/>
  <c r="F67" i="1"/>
  <c r="E67" i="1"/>
  <c r="D67" i="1"/>
  <c r="C67" i="1"/>
  <c r="B67" i="1"/>
  <c r="H66" i="1"/>
  <c r="G66" i="1"/>
  <c r="F66" i="1"/>
  <c r="E66" i="1"/>
  <c r="D66" i="1"/>
  <c r="C66" i="1"/>
  <c r="B66" i="1"/>
  <c r="H65" i="1"/>
  <c r="G65" i="1"/>
  <c r="F65" i="1"/>
  <c r="E65" i="1"/>
  <c r="D65" i="1"/>
  <c r="C65" i="1"/>
  <c r="B65" i="1"/>
  <c r="H64" i="1"/>
  <c r="G64" i="1"/>
  <c r="F64" i="1"/>
  <c r="E64" i="1"/>
  <c r="D64" i="1"/>
  <c r="C64" i="1"/>
  <c r="B64" i="1"/>
  <c r="H63" i="1"/>
  <c r="G63" i="1"/>
  <c r="F63" i="1"/>
  <c r="E63" i="1"/>
  <c r="D63" i="1"/>
  <c r="C63" i="1"/>
  <c r="B63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Q60" i="1"/>
  <c r="P60" i="1"/>
  <c r="N60" i="1"/>
  <c r="M60" i="1"/>
  <c r="L60" i="1"/>
  <c r="H60" i="1"/>
  <c r="G60" i="1"/>
  <c r="F60" i="1"/>
  <c r="E60" i="1"/>
  <c r="D60" i="1"/>
  <c r="C60" i="1"/>
  <c r="B60" i="1"/>
  <c r="Q59" i="1"/>
  <c r="P59" i="1"/>
  <c r="N59" i="1"/>
  <c r="M59" i="1"/>
  <c r="L59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52" i="1"/>
  <c r="G52" i="1"/>
  <c r="F52" i="1"/>
  <c r="E52" i="1"/>
  <c r="D52" i="1"/>
  <c r="C52" i="1"/>
  <c r="B52" i="1"/>
  <c r="Q51" i="1"/>
  <c r="P51" i="1"/>
  <c r="N51" i="1"/>
  <c r="M51" i="1"/>
  <c r="L51" i="1"/>
  <c r="H51" i="1"/>
  <c r="G51" i="1"/>
  <c r="F51" i="1"/>
  <c r="E51" i="1"/>
  <c r="D51" i="1"/>
  <c r="C51" i="1"/>
  <c r="B51" i="1"/>
  <c r="Q50" i="1"/>
  <c r="P50" i="1"/>
  <c r="N50" i="1"/>
  <c r="M50" i="1"/>
  <c r="L50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/>
  <c r="D46" i="1"/>
  <c r="C46" i="1"/>
  <c r="B46" i="1"/>
  <c r="H43" i="1"/>
  <c r="G43" i="1"/>
  <c r="F43" i="1"/>
  <c r="E43" i="1"/>
  <c r="D43" i="1"/>
  <c r="C43" i="1"/>
  <c r="B43" i="1"/>
  <c r="Q42" i="1"/>
  <c r="P42" i="1"/>
  <c r="N42" i="1"/>
  <c r="M42" i="1"/>
  <c r="L42" i="1"/>
  <c r="H42" i="1"/>
  <c r="G42" i="1"/>
  <c r="F42" i="1"/>
  <c r="E42" i="1"/>
  <c r="D42" i="1"/>
  <c r="C42" i="1"/>
  <c r="B42" i="1"/>
  <c r="Q41" i="1"/>
  <c r="P41" i="1"/>
  <c r="N41" i="1"/>
  <c r="M41" i="1"/>
  <c r="L41" i="1"/>
  <c r="H41" i="1"/>
  <c r="G41" i="1"/>
  <c r="F41" i="1"/>
  <c r="E41" i="1"/>
  <c r="D41" i="1"/>
  <c r="C41" i="1"/>
  <c r="B41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BE35" i="1"/>
  <c r="BD35" i="1"/>
  <c r="AZ35" i="1"/>
  <c r="AY35" i="1"/>
  <c r="AX35" i="1"/>
  <c r="AW35" i="1"/>
  <c r="AV35" i="1"/>
  <c r="AU35" i="1"/>
  <c r="AT35" i="1"/>
  <c r="AS35" i="1"/>
  <c r="AR35" i="1"/>
  <c r="AP35" i="1"/>
  <c r="AO35" i="1"/>
  <c r="AN35" i="1"/>
  <c r="AM35" i="1"/>
  <c r="AL35" i="1"/>
  <c r="AK35" i="1"/>
  <c r="AA35" i="1"/>
  <c r="Z35" i="1"/>
  <c r="Y35" i="1"/>
  <c r="X35" i="1"/>
  <c r="W35" i="1"/>
  <c r="V35" i="1"/>
  <c r="U35" i="1"/>
  <c r="T35" i="1"/>
  <c r="S35" i="1"/>
  <c r="R35" i="1"/>
  <c r="Q35" i="1"/>
  <c r="P35" i="1"/>
  <c r="J35" i="1"/>
  <c r="BE34" i="1"/>
  <c r="BD34" i="1"/>
  <c r="AZ34" i="1"/>
  <c r="AY34" i="1"/>
  <c r="AX34" i="1"/>
  <c r="AW34" i="1"/>
  <c r="AV34" i="1"/>
  <c r="AU34" i="1"/>
  <c r="AT34" i="1"/>
  <c r="AS34" i="1"/>
  <c r="AR34" i="1"/>
  <c r="AP34" i="1"/>
  <c r="AO34" i="1"/>
  <c r="AN34" i="1"/>
  <c r="AM34" i="1"/>
  <c r="AL34" i="1"/>
  <c r="AK34" i="1"/>
  <c r="AA34" i="1"/>
  <c r="Z34" i="1"/>
  <c r="Y34" i="1"/>
  <c r="X34" i="1"/>
  <c r="W34" i="1"/>
  <c r="V34" i="1"/>
  <c r="U34" i="1"/>
  <c r="T34" i="1"/>
  <c r="S34" i="1"/>
  <c r="R34" i="1"/>
  <c r="Q34" i="1"/>
  <c r="P34" i="1"/>
  <c r="J34" i="1"/>
  <c r="BE33" i="1"/>
  <c r="BD33" i="1"/>
  <c r="AZ33" i="1"/>
  <c r="AY33" i="1"/>
  <c r="AX33" i="1"/>
  <c r="AW33" i="1"/>
  <c r="AV33" i="1"/>
  <c r="AU33" i="1"/>
  <c r="AT33" i="1"/>
  <c r="AS33" i="1"/>
  <c r="AR33" i="1"/>
  <c r="AP33" i="1"/>
  <c r="AO33" i="1"/>
  <c r="AN33" i="1"/>
  <c r="AM33" i="1"/>
  <c r="AL33" i="1"/>
  <c r="AK33" i="1"/>
  <c r="AA33" i="1"/>
  <c r="Z33" i="1"/>
  <c r="Y33" i="1"/>
  <c r="X33" i="1"/>
  <c r="W33" i="1"/>
  <c r="V33" i="1"/>
  <c r="U33" i="1"/>
  <c r="T33" i="1"/>
  <c r="S33" i="1"/>
  <c r="R33" i="1"/>
  <c r="Q33" i="1"/>
  <c r="P33" i="1"/>
  <c r="J33" i="1"/>
  <c r="BE32" i="1"/>
  <c r="BD32" i="1"/>
  <c r="AZ32" i="1"/>
  <c r="AY32" i="1"/>
  <c r="AX32" i="1"/>
  <c r="AW32" i="1"/>
  <c r="AV32" i="1"/>
  <c r="AU32" i="1"/>
  <c r="AT32" i="1"/>
  <c r="AS32" i="1"/>
  <c r="AR32" i="1"/>
  <c r="AP32" i="1"/>
  <c r="AO32" i="1"/>
  <c r="AN32" i="1"/>
  <c r="AM32" i="1"/>
  <c r="AL32" i="1"/>
  <c r="AK32" i="1"/>
  <c r="AA32" i="1"/>
  <c r="Z32" i="1"/>
  <c r="Y32" i="1"/>
  <c r="X32" i="1"/>
  <c r="W32" i="1"/>
  <c r="V32" i="1"/>
  <c r="U32" i="1"/>
  <c r="T32" i="1"/>
  <c r="S32" i="1"/>
  <c r="R32" i="1"/>
  <c r="Q32" i="1"/>
  <c r="P32" i="1"/>
  <c r="J32" i="1"/>
  <c r="G32" i="1"/>
  <c r="BE31" i="1"/>
  <c r="BD31" i="1"/>
  <c r="AZ31" i="1"/>
  <c r="AY31" i="1"/>
  <c r="AX31" i="1"/>
  <c r="AW31" i="1"/>
  <c r="AV31" i="1"/>
  <c r="AU31" i="1"/>
  <c r="AT31" i="1"/>
  <c r="AS31" i="1"/>
  <c r="AR31" i="1"/>
  <c r="AP31" i="1"/>
  <c r="AO31" i="1"/>
  <c r="AN31" i="1"/>
  <c r="AM31" i="1"/>
  <c r="AL31" i="1"/>
  <c r="AK31" i="1"/>
  <c r="AA31" i="1"/>
  <c r="Z31" i="1"/>
  <c r="Y31" i="1"/>
  <c r="X31" i="1"/>
  <c r="W31" i="1"/>
  <c r="V31" i="1"/>
  <c r="U31" i="1"/>
  <c r="T31" i="1"/>
  <c r="S31" i="1"/>
  <c r="R31" i="1"/>
  <c r="Q31" i="1"/>
  <c r="P31" i="1"/>
  <c r="J31" i="1"/>
  <c r="G31" i="1"/>
  <c r="BE30" i="1"/>
  <c r="BD30" i="1"/>
  <c r="AZ30" i="1"/>
  <c r="AY30" i="1"/>
  <c r="AX30" i="1"/>
  <c r="AW30" i="1"/>
  <c r="AV30" i="1"/>
  <c r="AU30" i="1"/>
  <c r="AT30" i="1"/>
  <c r="AS30" i="1"/>
  <c r="AR30" i="1"/>
  <c r="AP30" i="1"/>
  <c r="AO30" i="1"/>
  <c r="AN30" i="1"/>
  <c r="AM30" i="1"/>
  <c r="AL30" i="1"/>
  <c r="AK30" i="1"/>
  <c r="AA30" i="1"/>
  <c r="Z30" i="1"/>
  <c r="Y30" i="1"/>
  <c r="X30" i="1"/>
  <c r="W30" i="1"/>
  <c r="V30" i="1"/>
  <c r="U30" i="1"/>
  <c r="T30" i="1"/>
  <c r="S30" i="1"/>
  <c r="R30" i="1"/>
  <c r="Q30" i="1"/>
  <c r="P30" i="1"/>
  <c r="J30" i="1"/>
  <c r="G30" i="1"/>
  <c r="BE29" i="1"/>
  <c r="BD29" i="1"/>
  <c r="G29" i="1"/>
  <c r="E29" i="1"/>
  <c r="G28" i="1"/>
  <c r="E28" i="1"/>
  <c r="BT24" i="1"/>
  <c r="BS24" i="1"/>
  <c r="BR24" i="1"/>
  <c r="BQ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A24" i="1"/>
  <c r="V24" i="1"/>
  <c r="U24" i="1"/>
  <c r="T24" i="1"/>
  <c r="S24" i="1"/>
  <c r="R24" i="1"/>
  <c r="Q24" i="1"/>
  <c r="P24" i="1"/>
  <c r="J24" i="1"/>
  <c r="BT23" i="1"/>
  <c r="BS23" i="1"/>
  <c r="BR23" i="1"/>
  <c r="BQ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A23" i="1"/>
  <c r="V23" i="1"/>
  <c r="U23" i="1"/>
  <c r="T23" i="1"/>
  <c r="S23" i="1"/>
  <c r="R23" i="1"/>
  <c r="Q23" i="1"/>
  <c r="P23" i="1"/>
  <c r="J23" i="1"/>
  <c r="B23" i="1"/>
  <c r="BT22" i="1"/>
  <c r="BS22" i="1"/>
  <c r="BR22" i="1"/>
  <c r="BQ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A22" i="1"/>
  <c r="V22" i="1"/>
  <c r="U22" i="1"/>
  <c r="T22" i="1"/>
  <c r="S22" i="1"/>
  <c r="R22" i="1"/>
  <c r="Q22" i="1"/>
  <c r="P22" i="1"/>
  <c r="J22" i="1"/>
  <c r="B22" i="1"/>
  <c r="BT21" i="1"/>
  <c r="BS21" i="1"/>
  <c r="BR21" i="1"/>
  <c r="BQ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A21" i="1"/>
  <c r="V21" i="1"/>
  <c r="U21" i="1"/>
  <c r="T21" i="1"/>
  <c r="S21" i="1"/>
  <c r="R21" i="1"/>
  <c r="Q21" i="1"/>
  <c r="P21" i="1"/>
  <c r="J21" i="1"/>
  <c r="B21" i="1"/>
  <c r="BT20" i="1"/>
  <c r="BS20" i="1"/>
  <c r="BR20" i="1"/>
  <c r="BQ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A20" i="1"/>
  <c r="V20" i="1"/>
  <c r="U20" i="1"/>
  <c r="T20" i="1"/>
  <c r="S20" i="1"/>
  <c r="R20" i="1"/>
  <c r="Q20" i="1"/>
  <c r="P20" i="1"/>
  <c r="J20" i="1"/>
  <c r="BT19" i="1"/>
  <c r="BS19" i="1"/>
  <c r="BR19" i="1"/>
  <c r="BQ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A19" i="1"/>
  <c r="V19" i="1"/>
  <c r="U19" i="1"/>
  <c r="T19" i="1"/>
  <c r="S19" i="1"/>
  <c r="R19" i="1"/>
  <c r="Q19" i="1"/>
  <c r="P19" i="1"/>
  <c r="J19" i="1"/>
  <c r="B19" i="1"/>
  <c r="BT18" i="1"/>
  <c r="BS18" i="1"/>
  <c r="BR18" i="1"/>
  <c r="BQ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A18" i="1"/>
  <c r="V18" i="1"/>
  <c r="U18" i="1"/>
  <c r="T18" i="1"/>
  <c r="S18" i="1"/>
  <c r="R18" i="1"/>
  <c r="Q18" i="1"/>
  <c r="P18" i="1"/>
  <c r="J18" i="1"/>
  <c r="B18" i="1"/>
  <c r="BT17" i="1"/>
  <c r="BS17" i="1"/>
  <c r="BR17" i="1"/>
  <c r="BQ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A17" i="1"/>
  <c r="V17" i="1"/>
  <c r="U17" i="1"/>
  <c r="T17" i="1"/>
  <c r="S17" i="1"/>
  <c r="R17" i="1"/>
  <c r="Q17" i="1"/>
  <c r="P17" i="1"/>
  <c r="J17" i="1"/>
  <c r="B17" i="1"/>
  <c r="B16" i="1"/>
  <c r="B15" i="1"/>
  <c r="B14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A12" i="1"/>
  <c r="V12" i="1"/>
  <c r="U12" i="1"/>
  <c r="T12" i="1"/>
  <c r="S12" i="1"/>
  <c r="R12" i="1"/>
  <c r="Q12" i="1"/>
  <c r="P12" i="1"/>
  <c r="J12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A11" i="1"/>
  <c r="V11" i="1"/>
  <c r="U11" i="1"/>
  <c r="T11" i="1"/>
  <c r="S11" i="1"/>
  <c r="R11" i="1"/>
  <c r="Q11" i="1"/>
  <c r="P11" i="1"/>
  <c r="J11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A10" i="1"/>
  <c r="V10" i="1"/>
  <c r="U10" i="1"/>
  <c r="T10" i="1"/>
  <c r="S10" i="1"/>
  <c r="R10" i="1"/>
  <c r="Q10" i="1"/>
  <c r="P10" i="1"/>
  <c r="J10" i="1"/>
  <c r="AV9" i="1"/>
  <c r="AU9" i="1"/>
  <c r="AT9" i="1"/>
  <c r="AS9" i="1"/>
  <c r="AR9" i="1"/>
  <c r="AQ9" i="1"/>
  <c r="AP9" i="1"/>
  <c r="AO9" i="1"/>
  <c r="AN9" i="1"/>
  <c r="AM9" i="1"/>
  <c r="AL9" i="1"/>
  <c r="AK9" i="1"/>
  <c r="AA9" i="1"/>
  <c r="V9" i="1"/>
  <c r="U9" i="1"/>
  <c r="T9" i="1"/>
  <c r="S9" i="1"/>
  <c r="R9" i="1"/>
  <c r="Q9" i="1"/>
  <c r="P9" i="1"/>
  <c r="J9" i="1"/>
  <c r="B9" i="1"/>
  <c r="AV8" i="1"/>
  <c r="AU8" i="1"/>
  <c r="AT8" i="1"/>
  <c r="AS8" i="1"/>
  <c r="AR8" i="1"/>
  <c r="AQ8" i="1"/>
  <c r="AP8" i="1"/>
  <c r="AO8" i="1"/>
  <c r="AN8" i="1"/>
  <c r="AM8" i="1"/>
  <c r="AL8" i="1"/>
  <c r="AK8" i="1"/>
  <c r="AA8" i="1"/>
  <c r="V8" i="1"/>
  <c r="U8" i="1"/>
  <c r="T8" i="1"/>
  <c r="S8" i="1"/>
  <c r="R8" i="1"/>
  <c r="Q8" i="1"/>
  <c r="P8" i="1"/>
  <c r="J8" i="1"/>
  <c r="AV7" i="1"/>
  <c r="AU7" i="1"/>
  <c r="AT7" i="1"/>
  <c r="AS7" i="1"/>
  <c r="AR7" i="1"/>
  <c r="AQ7" i="1"/>
  <c r="AP7" i="1"/>
  <c r="AO7" i="1"/>
  <c r="AN7" i="1"/>
  <c r="AM7" i="1"/>
  <c r="AL7" i="1"/>
  <c r="AK7" i="1"/>
  <c r="AA7" i="1"/>
  <c r="V7" i="1"/>
  <c r="U7" i="1"/>
  <c r="T7" i="1"/>
  <c r="S7" i="1"/>
  <c r="R7" i="1"/>
  <c r="Q7" i="1"/>
  <c r="P7" i="1"/>
  <c r="J7" i="1"/>
  <c r="AV6" i="1"/>
  <c r="AU6" i="1"/>
  <c r="AT6" i="1"/>
  <c r="AS6" i="1"/>
  <c r="AR6" i="1"/>
  <c r="AQ6" i="1"/>
  <c r="AP6" i="1"/>
  <c r="AO6" i="1"/>
  <c r="AN6" i="1"/>
  <c r="AM6" i="1"/>
  <c r="AL6" i="1"/>
  <c r="AK6" i="1"/>
  <c r="AA6" i="1"/>
  <c r="V6" i="1"/>
  <c r="U6" i="1"/>
  <c r="T6" i="1"/>
  <c r="S6" i="1"/>
  <c r="R6" i="1"/>
  <c r="Q6" i="1"/>
  <c r="P6" i="1"/>
  <c r="J6" i="1"/>
  <c r="AV5" i="1"/>
  <c r="AU5" i="1"/>
  <c r="AT5" i="1"/>
  <c r="AS5" i="1"/>
  <c r="AR5" i="1"/>
  <c r="AQ5" i="1"/>
  <c r="AP5" i="1"/>
  <c r="AO5" i="1"/>
  <c r="AN5" i="1"/>
  <c r="AM5" i="1"/>
  <c r="AL5" i="1"/>
  <c r="AK5" i="1"/>
  <c r="AA5" i="1"/>
  <c r="V5" i="1"/>
  <c r="U5" i="1"/>
  <c r="T5" i="1"/>
  <c r="S5" i="1"/>
  <c r="R5" i="1"/>
  <c r="Q5" i="1"/>
  <c r="P5" i="1"/>
  <c r="J5" i="1"/>
  <c r="D39" i="4"/>
  <c r="E35" i="4"/>
  <c r="E31" i="4"/>
  <c r="D31" i="4"/>
  <c r="D30" i="4"/>
  <c r="D29" i="4"/>
  <c r="D24" i="4"/>
  <c r="E22" i="4"/>
  <c r="D21" i="4"/>
  <c r="D19" i="4"/>
  <c r="D18" i="4"/>
  <c r="E8" i="4"/>
  <c r="E7" i="4"/>
  <c r="D5" i="4"/>
  <c r="C5" i="4"/>
  <c r="A92" i="29"/>
  <c r="G91" i="29"/>
  <c r="F91" i="29"/>
  <c r="E91" i="29"/>
  <c r="D91" i="29"/>
  <c r="D89" i="29"/>
  <c r="D88" i="29"/>
  <c r="D87" i="29"/>
  <c r="D86" i="29"/>
  <c r="D85" i="29"/>
  <c r="D84" i="29"/>
  <c r="A83" i="29"/>
  <c r="G82" i="29"/>
  <c r="F82" i="29"/>
  <c r="E82" i="29"/>
  <c r="D82" i="29"/>
  <c r="D80" i="29"/>
  <c r="BJ79" i="29"/>
  <c r="BI79" i="29"/>
  <c r="BH79" i="29"/>
  <c r="BG79" i="29"/>
  <c r="BF79" i="29"/>
  <c r="BE79" i="29"/>
  <c r="BD79" i="29"/>
  <c r="BC79" i="29"/>
  <c r="BB79" i="29"/>
  <c r="BA79" i="29"/>
  <c r="AZ79" i="29"/>
  <c r="AY79" i="29"/>
  <c r="AX79" i="29"/>
  <c r="AW79" i="29"/>
  <c r="AV79" i="29"/>
  <c r="AU79" i="29"/>
  <c r="AT79" i="29"/>
  <c r="AS79" i="29"/>
  <c r="AR79" i="29"/>
  <c r="AQ79" i="29"/>
  <c r="AP79" i="29"/>
  <c r="AO79" i="29"/>
  <c r="AN79" i="29"/>
  <c r="AM79" i="29"/>
  <c r="AL79" i="29"/>
  <c r="AK79" i="29"/>
  <c r="AJ79" i="29"/>
  <c r="AI79" i="29"/>
  <c r="AH79" i="29"/>
  <c r="AG79" i="29"/>
  <c r="AF79" i="29"/>
  <c r="AE79" i="29"/>
  <c r="AD79" i="29"/>
  <c r="AC79" i="29"/>
  <c r="AB79" i="29"/>
  <c r="AA79" i="29"/>
  <c r="Y78" i="29"/>
  <c r="X78" i="29"/>
  <c r="W78" i="29"/>
  <c r="V78" i="29"/>
  <c r="U78" i="29"/>
  <c r="T78" i="29"/>
  <c r="S78" i="29"/>
  <c r="R78" i="29"/>
  <c r="Q78" i="29"/>
  <c r="P78" i="29"/>
  <c r="K78" i="29"/>
  <c r="D78" i="29"/>
  <c r="AC77" i="29"/>
  <c r="AB77" i="29"/>
  <c r="Y77" i="29"/>
  <c r="X77" i="29"/>
  <c r="W77" i="29"/>
  <c r="V77" i="29"/>
  <c r="U77" i="29"/>
  <c r="T77" i="29"/>
  <c r="S77" i="29"/>
  <c r="R77" i="29"/>
  <c r="Q77" i="29"/>
  <c r="P77" i="29"/>
  <c r="K77" i="29"/>
  <c r="D77" i="29"/>
  <c r="Y76" i="29"/>
  <c r="X76" i="29"/>
  <c r="W76" i="29"/>
  <c r="V76" i="29"/>
  <c r="U76" i="29"/>
  <c r="T76" i="29"/>
  <c r="S76" i="29"/>
  <c r="R76" i="29"/>
  <c r="Q76" i="29"/>
  <c r="P76" i="29"/>
  <c r="K76" i="29"/>
  <c r="D76" i="29"/>
  <c r="Y75" i="29"/>
  <c r="X75" i="29"/>
  <c r="W75" i="29"/>
  <c r="V75" i="29"/>
  <c r="U75" i="29"/>
  <c r="T75" i="29"/>
  <c r="S75" i="29"/>
  <c r="R75" i="29"/>
  <c r="Q75" i="29"/>
  <c r="P75" i="29"/>
  <c r="K75" i="29"/>
  <c r="D75" i="29"/>
  <c r="Y74" i="29"/>
  <c r="X74" i="29"/>
  <c r="W74" i="29"/>
  <c r="V74" i="29"/>
  <c r="U74" i="29"/>
  <c r="T74" i="29"/>
  <c r="S74" i="29"/>
  <c r="R74" i="29"/>
  <c r="Q74" i="29"/>
  <c r="P74" i="29"/>
  <c r="K74" i="29"/>
  <c r="D74" i="29"/>
  <c r="Y73" i="29"/>
  <c r="X73" i="29"/>
  <c r="W73" i="29"/>
  <c r="V73" i="29"/>
  <c r="U73" i="29"/>
  <c r="T73" i="29"/>
  <c r="S73" i="29"/>
  <c r="R73" i="29"/>
  <c r="Q73" i="29"/>
  <c r="P73" i="29"/>
  <c r="K73" i="29"/>
  <c r="AC72" i="29"/>
  <c r="Y72" i="29"/>
  <c r="X72" i="29"/>
  <c r="W72" i="29"/>
  <c r="V72" i="29"/>
  <c r="U72" i="29"/>
  <c r="T72" i="29"/>
  <c r="S72" i="29"/>
  <c r="R72" i="29"/>
  <c r="Q72" i="29"/>
  <c r="P72" i="29"/>
  <c r="K72" i="29"/>
  <c r="AC71" i="29"/>
  <c r="Y71" i="29"/>
  <c r="X71" i="29"/>
  <c r="W71" i="29"/>
  <c r="V71" i="29"/>
  <c r="U71" i="29"/>
  <c r="T71" i="29"/>
  <c r="S71" i="29"/>
  <c r="R71" i="29"/>
  <c r="Q71" i="29"/>
  <c r="P71" i="29"/>
  <c r="K71" i="29"/>
  <c r="AK70" i="29"/>
  <c r="AJ70" i="29"/>
  <c r="AH70" i="29"/>
  <c r="AG70" i="29"/>
  <c r="AC70" i="29"/>
  <c r="Y70" i="29"/>
  <c r="X70" i="29"/>
  <c r="W70" i="29"/>
  <c r="V70" i="29"/>
  <c r="U70" i="29"/>
  <c r="T70" i="29"/>
  <c r="S70" i="29"/>
  <c r="R70" i="29"/>
  <c r="Q70" i="29"/>
  <c r="P70" i="29"/>
  <c r="K70" i="29"/>
  <c r="AK69" i="29"/>
  <c r="AJ69" i="29"/>
  <c r="AH69" i="29"/>
  <c r="AG69" i="29"/>
  <c r="AC69" i="29"/>
  <c r="Y69" i="29"/>
  <c r="X69" i="29"/>
  <c r="W69" i="29"/>
  <c r="V69" i="29"/>
  <c r="U69" i="29"/>
  <c r="T69" i="29"/>
  <c r="S69" i="29"/>
  <c r="R69" i="29"/>
  <c r="Q69" i="29"/>
  <c r="P69" i="29"/>
  <c r="K69" i="29"/>
  <c r="D69" i="29"/>
  <c r="AK68" i="29"/>
  <c r="AJ68" i="29"/>
  <c r="AH68" i="29"/>
  <c r="AG68" i="29"/>
  <c r="Y68" i="29"/>
  <c r="X68" i="29"/>
  <c r="W68" i="29"/>
  <c r="V68" i="29"/>
  <c r="U68" i="29"/>
  <c r="T68" i="29"/>
  <c r="S68" i="29"/>
  <c r="R68" i="29"/>
  <c r="Q68" i="29"/>
  <c r="P68" i="29"/>
  <c r="K68" i="29"/>
  <c r="D68" i="29"/>
  <c r="AK67" i="29"/>
  <c r="AJ67" i="29"/>
  <c r="AH67" i="29"/>
  <c r="AG67" i="29"/>
  <c r="D67" i="29"/>
  <c r="D66" i="29"/>
  <c r="D64" i="29"/>
  <c r="D63" i="29"/>
  <c r="E62" i="29"/>
  <c r="E61" i="29"/>
  <c r="E60" i="29"/>
  <c r="E59" i="29"/>
  <c r="D58" i="29"/>
  <c r="D56" i="29"/>
  <c r="D54" i="29"/>
  <c r="D53" i="29"/>
  <c r="E52" i="29"/>
  <c r="E51" i="29"/>
  <c r="E50" i="29"/>
  <c r="E49" i="29"/>
  <c r="D48" i="29"/>
  <c r="D46" i="29"/>
  <c r="D39" i="29"/>
  <c r="D38" i="29"/>
  <c r="D37" i="29"/>
  <c r="D36" i="29"/>
  <c r="D34" i="29"/>
  <c r="D33" i="29"/>
  <c r="D32" i="29"/>
  <c r="D31" i="29"/>
  <c r="L29" i="29"/>
  <c r="K29" i="29"/>
  <c r="J29" i="29"/>
  <c r="L28" i="29"/>
  <c r="K28" i="29"/>
  <c r="J28" i="29"/>
  <c r="D28" i="29"/>
  <c r="D27" i="29"/>
  <c r="D25" i="29"/>
  <c r="L24" i="29"/>
  <c r="K24" i="29"/>
  <c r="J24" i="29"/>
  <c r="L23" i="29"/>
  <c r="K23" i="29"/>
  <c r="J23" i="29"/>
  <c r="D21" i="29"/>
  <c r="L20" i="29"/>
  <c r="K20" i="29"/>
  <c r="J20" i="29"/>
  <c r="L19" i="29"/>
  <c r="K19" i="29"/>
  <c r="J19" i="29"/>
  <c r="D19" i="29"/>
  <c r="O15" i="29"/>
  <c r="L15" i="29"/>
  <c r="D15" i="29"/>
  <c r="D12" i="29"/>
  <c r="O11" i="29"/>
  <c r="L11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</author>
  </authors>
  <commentList>
    <comment ref="C9" authorId="0" shapeId="0" xr:uid="{00000000-0006-0000-0C00-000001000000}">
      <text>
        <r>
          <rPr>
            <b/>
            <sz val="9"/>
            <rFont val="Tahoma"/>
            <family val="2"/>
          </rPr>
          <t>WAN:</t>
        </r>
        <r>
          <rPr>
            <b/>
            <sz val="9"/>
            <rFont val="宋体"/>
            <family val="3"/>
            <charset val="134"/>
          </rPr>
          <t>与斜梁垂直方向</t>
        </r>
        <r>
          <rPr>
            <sz val="9"/>
            <rFont val="Tahoma"/>
            <family val="2"/>
          </rPr>
          <t xml:space="preserve">
</t>
        </r>
      </text>
    </comment>
    <comment ref="C10" authorId="0" shapeId="0" xr:uid="{00000000-0006-0000-0C00-000002000000}">
      <text>
        <r>
          <rPr>
            <b/>
            <sz val="9"/>
            <rFont val="Tahoma"/>
            <family val="2"/>
          </rPr>
          <t>WAN:</t>
        </r>
        <r>
          <rPr>
            <b/>
            <sz val="9"/>
            <rFont val="宋体"/>
            <family val="3"/>
            <charset val="134"/>
          </rPr>
          <t>与斜梁平行方向</t>
        </r>
        <r>
          <rPr>
            <sz val="9"/>
            <rFont val="Tahoma"/>
            <family val="2"/>
          </rPr>
          <t xml:space="preserve">
</t>
        </r>
      </text>
    </comment>
    <comment ref="C11" authorId="0" shapeId="0" xr:uid="{00000000-0006-0000-0C00-000003000000}">
      <text>
        <r>
          <rPr>
            <b/>
            <sz val="9"/>
            <rFont val="Tahoma"/>
            <family val="2"/>
          </rPr>
          <t>WAN: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输入檩条受力重量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</author>
  </authors>
  <commentList>
    <comment ref="C9" authorId="0" shapeId="0" xr:uid="{00000000-0006-0000-0D00-000001000000}">
      <text>
        <r>
          <rPr>
            <b/>
            <sz val="9"/>
            <rFont val="Tahoma"/>
            <family val="2"/>
          </rPr>
          <t>WAN:</t>
        </r>
        <r>
          <rPr>
            <b/>
            <sz val="9"/>
            <rFont val="宋体"/>
            <family val="3"/>
            <charset val="134"/>
          </rPr>
          <t>与斜梁垂直方向</t>
        </r>
        <r>
          <rPr>
            <sz val="9"/>
            <rFont val="Tahoma"/>
            <family val="2"/>
          </rPr>
          <t xml:space="preserve">
</t>
        </r>
      </text>
    </comment>
    <comment ref="C10" authorId="0" shapeId="0" xr:uid="{00000000-0006-0000-0D00-000002000000}">
      <text>
        <r>
          <rPr>
            <b/>
            <sz val="9"/>
            <rFont val="Tahoma"/>
            <family val="2"/>
          </rPr>
          <t>WAN:</t>
        </r>
        <r>
          <rPr>
            <b/>
            <sz val="9"/>
            <rFont val="宋体"/>
            <family val="3"/>
            <charset val="134"/>
          </rPr>
          <t>与斜梁平行方向</t>
        </r>
        <r>
          <rPr>
            <sz val="9"/>
            <rFont val="Tahoma"/>
            <family val="2"/>
          </rPr>
          <t xml:space="preserve">
</t>
        </r>
      </text>
    </comment>
    <comment ref="C11" authorId="0" shapeId="0" xr:uid="{00000000-0006-0000-0D00-000003000000}">
      <text>
        <r>
          <rPr>
            <b/>
            <sz val="9"/>
            <rFont val="Tahoma"/>
            <family val="2"/>
          </rPr>
          <t>WAN: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输入檩条受力重量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</author>
  </authors>
  <commentList>
    <comment ref="C9" authorId="0" shapeId="0" xr:uid="{00000000-0006-0000-0E00-000001000000}">
      <text>
        <r>
          <rPr>
            <b/>
            <sz val="9"/>
            <rFont val="Tahoma"/>
            <family val="2"/>
          </rPr>
          <t>WAN:</t>
        </r>
        <r>
          <rPr>
            <b/>
            <sz val="9"/>
            <rFont val="宋体"/>
            <family val="3"/>
            <charset val="134"/>
          </rPr>
          <t>与斜梁垂直方向</t>
        </r>
        <r>
          <rPr>
            <sz val="9"/>
            <rFont val="Tahoma"/>
            <family val="2"/>
          </rPr>
          <t xml:space="preserve">
</t>
        </r>
      </text>
    </comment>
    <comment ref="C10" authorId="0" shapeId="0" xr:uid="{00000000-0006-0000-0E00-000002000000}">
      <text>
        <r>
          <rPr>
            <b/>
            <sz val="9"/>
            <rFont val="Tahoma"/>
            <family val="2"/>
          </rPr>
          <t>WAN:</t>
        </r>
        <r>
          <rPr>
            <b/>
            <sz val="9"/>
            <rFont val="宋体"/>
            <family val="3"/>
            <charset val="134"/>
          </rPr>
          <t>与斜梁平行方向</t>
        </r>
        <r>
          <rPr>
            <sz val="9"/>
            <rFont val="Tahoma"/>
            <family val="2"/>
          </rPr>
          <t xml:space="preserve">
</t>
        </r>
      </text>
    </comment>
    <comment ref="C11" authorId="0" shapeId="0" xr:uid="{00000000-0006-0000-0E00-000003000000}">
      <text>
        <r>
          <rPr>
            <b/>
            <sz val="9"/>
            <rFont val="Tahoma"/>
            <family val="2"/>
          </rPr>
          <t>WAN: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输入檩条受力重量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8" authorId="0" shapeId="0" xr:uid="{00000000-0006-0000-1200-000001000000}">
      <text>
        <r>
          <rPr>
            <b/>
            <sz val="9"/>
            <rFont val="宋体"/>
            <family val="3"/>
            <charset val="134"/>
          </rPr>
          <t>参考</t>
        </r>
        <r>
          <rPr>
            <b/>
            <sz val="9"/>
            <rFont val="Tahoma"/>
            <family val="2"/>
          </rPr>
          <t>DP=3*D</t>
        </r>
      </text>
    </comment>
    <comment ref="A14" authorId="0" shapeId="0" xr:uid="{00000000-0006-0000-1200-000002000000}">
      <text>
        <r>
          <rPr>
            <b/>
            <sz val="9"/>
            <rFont val="宋体"/>
            <family val="3"/>
            <charset val="134"/>
          </rPr>
          <t>参考</t>
        </r>
        <r>
          <rPr>
            <b/>
            <sz val="9"/>
            <rFont val="Tahoma"/>
            <family val="2"/>
          </rPr>
          <t>h2=3*Dp</t>
        </r>
      </text>
    </comment>
    <comment ref="A15" authorId="0" shapeId="0" xr:uid="{00000000-0006-0000-1200-000003000000}">
      <text>
        <r>
          <rPr>
            <b/>
            <sz val="9"/>
            <rFont val="宋体"/>
            <family val="3"/>
            <charset val="134"/>
          </rPr>
          <t>参考h2=3*Dp</t>
        </r>
      </text>
    </comment>
    <comment ref="A16" authorId="0" shapeId="0" xr:uid="{00000000-0006-0000-1200-000004000000}">
      <text>
        <r>
          <rPr>
            <b/>
            <sz val="9"/>
            <rFont val="宋体"/>
            <family val="3"/>
            <charset val="134"/>
          </rPr>
          <t>参考h2=3*Dp</t>
        </r>
      </text>
    </comment>
  </commentList>
</comments>
</file>

<file path=xl/sharedStrings.xml><?xml version="1.0" encoding="utf-8"?>
<sst xmlns="http://schemas.openxmlformats.org/spreadsheetml/2006/main" count="3644" uniqueCount="1235">
  <si>
    <t>卷册检索号</t>
  </si>
  <si>
    <t>计 算 书</t>
  </si>
  <si>
    <t>工  程</t>
  </si>
  <si>
    <t xml:space="preserve">     光伏支架跟踪器节点计算</t>
  </si>
  <si>
    <t>专  业</t>
  </si>
  <si>
    <t>结    构</t>
  </si>
  <si>
    <t>名  称</t>
  </si>
  <si>
    <r>
      <rPr>
        <b/>
        <sz val="14"/>
        <rFont val="宋体"/>
        <family val="3"/>
        <charset val="134"/>
      </rPr>
      <t>批</t>
    </r>
    <r>
      <rPr>
        <b/>
        <sz val="14"/>
        <rFont val="Times New Roman"/>
        <family val="1"/>
      </rPr>
      <t xml:space="preserve">    </t>
    </r>
    <r>
      <rPr>
        <b/>
        <sz val="14"/>
        <rFont val="宋体"/>
        <family val="3"/>
        <charset val="134"/>
      </rPr>
      <t>准：</t>
    </r>
    <r>
      <rPr>
        <b/>
        <sz val="14"/>
        <rFont val="Times New Roman"/>
        <family val="1"/>
      </rPr>
      <t xml:space="preserve">   </t>
    </r>
  </si>
  <si>
    <t>校  核：</t>
  </si>
  <si>
    <t>计  算：</t>
  </si>
  <si>
    <t>日  期：</t>
  </si>
  <si>
    <t>江苏新恒源能源技术有限公司</t>
  </si>
  <si>
    <r>
      <rPr>
        <b/>
        <sz val="14"/>
        <rFont val="宋体"/>
        <family val="3"/>
        <charset val="134"/>
      </rPr>
      <t xml:space="preserve">                     光伏支架风荷载计算        </t>
    </r>
    <r>
      <rPr>
        <b/>
        <sz val="10"/>
        <rFont val="宋体"/>
        <family val="3"/>
        <charset val="134"/>
      </rPr>
      <t>ASCE 7-16</t>
    </r>
  </si>
  <si>
    <t>1.风速计算:</t>
  </si>
  <si>
    <t>Upwind of Crest</t>
  </si>
  <si>
    <t>Downwind of Crest</t>
  </si>
  <si>
    <r>
      <rPr>
        <sz val="10"/>
        <rFont val="宋体"/>
        <family val="3"/>
        <charset val="134"/>
      </rPr>
      <t>风速V50</t>
    </r>
    <r>
      <rPr>
        <vertAlign val="subscript"/>
        <sz val="10"/>
        <rFont val="宋体"/>
        <family val="3"/>
        <charset val="134"/>
      </rPr>
      <t>=</t>
    </r>
  </si>
  <si>
    <t>m/s</t>
  </si>
  <si>
    <t>B</t>
  </si>
  <si>
    <t>C</t>
  </si>
  <si>
    <t>D</t>
  </si>
  <si>
    <t>μ1</t>
  </si>
  <si>
    <r>
      <rPr>
        <sz val="10"/>
        <rFont val="Calibri"/>
        <family val="2"/>
      </rPr>
      <t>μ</t>
    </r>
    <r>
      <rPr>
        <sz val="10"/>
        <rFont val="宋体"/>
        <family val="3"/>
        <charset val="134"/>
      </rPr>
      <t>2</t>
    </r>
  </si>
  <si>
    <t>风险类别</t>
  </si>
  <si>
    <t>Ⅰ类(300年)</t>
  </si>
  <si>
    <t>Ridge</t>
  </si>
  <si>
    <t>Escarpment</t>
  </si>
  <si>
    <t>2.地形因子Kzt</t>
  </si>
  <si>
    <t xml:space="preserve"> Hill</t>
  </si>
  <si>
    <t>Kzt=</t>
  </si>
  <si>
    <r>
      <rPr>
        <sz val="10"/>
        <rFont val="宋体"/>
        <family val="3"/>
        <charset val="134"/>
      </rPr>
      <t>(1+K1*K2*K3)</t>
    </r>
    <r>
      <rPr>
        <vertAlign val="superscript"/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=</t>
    </r>
  </si>
  <si>
    <t>K1/(H/Lh)=</t>
  </si>
  <si>
    <t>Exposure</t>
  </si>
  <si>
    <t>α</t>
  </si>
  <si>
    <t xml:space="preserve">Zg </t>
  </si>
  <si>
    <t>H=</t>
  </si>
  <si>
    <t>m</t>
  </si>
  <si>
    <t>Lh=</t>
  </si>
  <si>
    <t>H/Lh=</t>
  </si>
  <si>
    <t>K1=</t>
  </si>
  <si>
    <t>X=</t>
  </si>
  <si>
    <r>
      <rPr>
        <sz val="10"/>
        <rFont val="Calibri"/>
        <family val="2"/>
      </rPr>
      <t>μ</t>
    </r>
    <r>
      <rPr>
        <sz val="10"/>
        <rFont val="宋体"/>
        <family val="3"/>
        <charset val="134"/>
      </rPr>
      <t>=</t>
    </r>
  </si>
  <si>
    <t>K2=</t>
  </si>
  <si>
    <r>
      <rPr>
        <sz val="10"/>
        <rFont val="宋体"/>
        <family val="3"/>
        <charset val="134"/>
      </rPr>
      <t>1- X /</t>
    </r>
    <r>
      <rPr>
        <sz val="10"/>
        <rFont val="Calibri"/>
        <family val="2"/>
      </rPr>
      <t>μ</t>
    </r>
    <r>
      <rPr>
        <sz val="10"/>
        <rFont val="宋体"/>
        <family val="3"/>
        <charset val="134"/>
      </rPr>
      <t>Lh=</t>
    </r>
  </si>
  <si>
    <t>Z=</t>
  </si>
  <si>
    <t>K3=</t>
  </si>
  <si>
    <t>3.风向因子Kd</t>
  </si>
  <si>
    <t>Kd=</t>
  </si>
  <si>
    <t>4.速度压力暴露系数 Kz</t>
  </si>
  <si>
    <t>支架离地面高度H=</t>
  </si>
  <si>
    <r>
      <rPr>
        <sz val="10"/>
        <rFont val="Calibri"/>
        <family val="2"/>
      </rPr>
      <t>α</t>
    </r>
    <r>
      <rPr>
        <sz val="10"/>
        <rFont val="Calibri"/>
        <family val="2"/>
      </rPr>
      <t>=</t>
    </r>
  </si>
  <si>
    <t>Zg=</t>
  </si>
  <si>
    <t>Kz=</t>
  </si>
  <si>
    <t>5.Ke地面高程系数</t>
  </si>
  <si>
    <t>Ke=</t>
  </si>
  <si>
    <t>6.风压计算</t>
  </si>
  <si>
    <t>qz=</t>
  </si>
  <si>
    <t>0.613*Kz*Kzt*Kd*Ke*V2=</t>
  </si>
  <si>
    <t>N/m2</t>
  </si>
  <si>
    <t>7.阵风响应系数G</t>
  </si>
  <si>
    <t>G=</t>
  </si>
  <si>
    <t>8.荷载计算</t>
  </si>
  <si>
    <t>qzG=</t>
  </si>
  <si>
    <t>9.雪压计算</t>
  </si>
  <si>
    <t>光伏跟踪支架计算书</t>
  </si>
  <si>
    <t>说明：适用于1P单点驱动，减速机按照铰接考虑</t>
  </si>
  <si>
    <t>1.设计条件</t>
  </si>
  <si>
    <t>钢管</t>
  </si>
  <si>
    <t>单位:mm</t>
  </si>
  <si>
    <t>方管</t>
  </si>
  <si>
    <t>保护风速V1=</t>
  </si>
  <si>
    <t>风压折减系数：</t>
  </si>
  <si>
    <t>名称</t>
  </si>
  <si>
    <t>材质</t>
  </si>
  <si>
    <t>直径</t>
  </si>
  <si>
    <t>壁厚</t>
  </si>
  <si>
    <t>单重KN/m</t>
  </si>
  <si>
    <t>截面积</t>
  </si>
  <si>
    <t>Iy</t>
  </si>
  <si>
    <t>Iz</t>
  </si>
  <si>
    <t>Wy</t>
  </si>
  <si>
    <t>Wz</t>
  </si>
  <si>
    <t>Am2</t>
  </si>
  <si>
    <t>长</t>
  </si>
  <si>
    <t>宽</t>
  </si>
  <si>
    <t>折弯半径R</t>
  </si>
  <si>
    <t>Q/It=</t>
  </si>
  <si>
    <t>C/J=</t>
  </si>
  <si>
    <t>fy</t>
  </si>
  <si>
    <t>W/T</t>
  </si>
  <si>
    <t>f</t>
  </si>
  <si>
    <t>A</t>
  </si>
  <si>
    <t>最大风速V2=</t>
  </si>
  <si>
    <t>Q355B</t>
  </si>
  <si>
    <t>面板重量W=</t>
  </si>
  <si>
    <t>kg</t>
  </si>
  <si>
    <t>Q420B</t>
  </si>
  <si>
    <t>面板宽度B=</t>
  </si>
  <si>
    <t>面板长度L=</t>
  </si>
  <si>
    <t>光伏面板面积A=</t>
  </si>
  <si>
    <t>m2</t>
  </si>
  <si>
    <t>2.主梁计算</t>
  </si>
  <si>
    <t>2.1主梁规格及截面特性</t>
  </si>
  <si>
    <t>截面形状</t>
  </si>
  <si>
    <t>O形截面</t>
  </si>
  <si>
    <t>主梁规格</t>
  </si>
  <si>
    <t>O140*2.5</t>
  </si>
  <si>
    <t>主梁材质</t>
  </si>
  <si>
    <t>强度设计值ft=</t>
  </si>
  <si>
    <t>Mpa</t>
  </si>
  <si>
    <t>H型钢</t>
  </si>
  <si>
    <t>X轴</t>
  </si>
  <si>
    <t>Y轴</t>
  </si>
  <si>
    <t>面积</t>
  </si>
  <si>
    <t>抗弯模量Wx=</t>
  </si>
  <si>
    <t>mm3</t>
  </si>
  <si>
    <t>高度</t>
  </si>
  <si>
    <t>翼缘宽度</t>
  </si>
  <si>
    <t>上下翼缘厚度</t>
  </si>
  <si>
    <t>腹板厚度</t>
  </si>
  <si>
    <t>截面直径s
mm</t>
  </si>
  <si>
    <t>板厚t
mm</t>
  </si>
  <si>
    <t>a</t>
  </si>
  <si>
    <t>b</t>
  </si>
  <si>
    <t>Ix</t>
  </si>
  <si>
    <t>Wx</t>
  </si>
  <si>
    <t>极惯性矩Ip
mm4</t>
  </si>
  <si>
    <t>中心层</t>
  </si>
  <si>
    <t>夹角1</t>
  </si>
  <si>
    <t>夹角2</t>
  </si>
  <si>
    <t>夹角3</t>
  </si>
  <si>
    <t>边长1</t>
  </si>
  <si>
    <t>边2</t>
  </si>
  <si>
    <t>边3</t>
  </si>
  <si>
    <t>边3斜边</t>
  </si>
  <si>
    <t>面积A1</t>
  </si>
  <si>
    <t>面积A2</t>
  </si>
  <si>
    <t>面积A3</t>
  </si>
  <si>
    <t>IX边1</t>
  </si>
  <si>
    <t xml:space="preserve">IX边2 </t>
  </si>
  <si>
    <t>IX边3</t>
  </si>
  <si>
    <t>边2距中心距</t>
  </si>
  <si>
    <t>Iy边1</t>
  </si>
  <si>
    <t xml:space="preserve">Iy边2 </t>
  </si>
  <si>
    <t>Iy边3</t>
  </si>
  <si>
    <t>大圈高度</t>
  </si>
  <si>
    <t>小圈高度</t>
  </si>
  <si>
    <t>大圈底部</t>
  </si>
  <si>
    <t>小圈底部</t>
  </si>
  <si>
    <t>抗弯模量Wy=</t>
  </si>
  <si>
    <r>
      <rPr>
        <sz val="9"/>
        <color theme="1"/>
        <rFont val="等线"/>
        <family val="3"/>
        <charset val="134"/>
      </rPr>
      <t>y轴惯性矩</t>
    </r>
    <r>
      <rPr>
        <sz val="10"/>
        <color theme="1"/>
        <rFont val="等线"/>
        <family val="3"/>
        <charset val="134"/>
      </rPr>
      <t>I</t>
    </r>
    <r>
      <rPr>
        <sz val="9"/>
        <color theme="1"/>
        <rFont val="等线"/>
        <family val="3"/>
        <charset val="134"/>
      </rPr>
      <t>y=</t>
    </r>
  </si>
  <si>
    <t>mm4</t>
  </si>
  <si>
    <r>
      <rPr>
        <sz val="9"/>
        <color theme="1"/>
        <rFont val="等线"/>
        <family val="3"/>
        <charset val="134"/>
        <scheme val="minor"/>
      </rPr>
      <t>x轴惯性矩</t>
    </r>
    <r>
      <rPr>
        <sz val="10"/>
        <color theme="1"/>
        <rFont val="等线"/>
        <family val="3"/>
        <charset val="134"/>
      </rPr>
      <t>I</t>
    </r>
    <r>
      <rPr>
        <sz val="9"/>
        <color theme="1"/>
        <rFont val="等线"/>
        <family val="3"/>
        <charset val="134"/>
      </rPr>
      <t>x=</t>
    </r>
  </si>
  <si>
    <t>钢材弹性模量E=</t>
  </si>
  <si>
    <t>主梁自重GZ=</t>
  </si>
  <si>
    <t>KN/m</t>
  </si>
  <si>
    <t>2.2主梁荷载及强度计算-顺风向</t>
  </si>
  <si>
    <t>跨距L1=</t>
  </si>
  <si>
    <t>m=L1/L2=</t>
  </si>
  <si>
    <t>多棱管</t>
  </si>
  <si>
    <t>几型钢</t>
  </si>
  <si>
    <t>多边形数据</t>
  </si>
  <si>
    <t>跨距L2=</t>
  </si>
  <si>
    <t>n=L3/L2=</t>
  </si>
  <si>
    <t>边数</t>
  </si>
  <si>
    <t>折弯半价</t>
  </si>
  <si>
    <t>h</t>
  </si>
  <si>
    <t>t</t>
  </si>
  <si>
    <t>A1</t>
  </si>
  <si>
    <t>A2</t>
  </si>
  <si>
    <t>A3</t>
  </si>
  <si>
    <t>y1</t>
  </si>
  <si>
    <t>y2</t>
  </si>
  <si>
    <t>y3</t>
  </si>
  <si>
    <t>重心偏移1</t>
  </si>
  <si>
    <t>重心偏移2</t>
  </si>
  <si>
    <t>最大</t>
  </si>
  <si>
    <t>跨距L3=</t>
  </si>
  <si>
    <t>6边</t>
  </si>
  <si>
    <t>一跨内面板数量n=</t>
  </si>
  <si>
    <t>K4=</t>
  </si>
  <si>
    <t>8边</t>
  </si>
  <si>
    <t>面板偏心高度h=</t>
  </si>
  <si>
    <t>体型取值</t>
  </si>
  <si>
    <t>自动</t>
  </si>
  <si>
    <t>K5=</t>
  </si>
  <si>
    <t>距离计算位置驱动面板数量np=</t>
  </si>
  <si>
    <t>结构类型</t>
  </si>
  <si>
    <t>1P</t>
  </si>
  <si>
    <t xml:space="preserve">                             角度θ
     类型</t>
  </si>
  <si>
    <t>运动状态</t>
  </si>
  <si>
    <t>正常运行</t>
  </si>
  <si>
    <t>停止保护</t>
  </si>
  <si>
    <t>适用风速（m/s）</t>
  </si>
  <si>
    <t>状态风压Wo=V^2/1.6-kN/m2=</t>
  </si>
  <si>
    <t>面板上侧体系系数GCN1</t>
  </si>
  <si>
    <t>面板下侧体系系数GCN2</t>
  </si>
  <si>
    <t>K1</t>
  </si>
  <si>
    <t>动态放大系数DAF</t>
  </si>
  <si>
    <t>K1插值法</t>
  </si>
  <si>
    <t>n</t>
  </si>
  <si>
    <t>列</t>
  </si>
  <si>
    <t xml:space="preserve">           n
   m</t>
  </si>
  <si>
    <t>扭矩系数Cm=（GCN1-GCN2）/8=</t>
  </si>
  <si>
    <t>面板上侧风压Ws=qsw*GCN1*DAF
（KN/m2）</t>
  </si>
  <si>
    <t>面板下侧风压WX=qsw*GCN1*DAF
（KN/m2）</t>
  </si>
  <si>
    <t>活载组合系数Ψ1=</t>
  </si>
  <si>
    <t>恒荷载组合系数Ψ2=</t>
  </si>
  <si>
    <t>一块面板风压Wz=Ψ1*(Ws+Wx)*A/2=</t>
  </si>
  <si>
    <t>主梁风产生均布荷载qyf(KN/m)=Wz*n/Lh=</t>
  </si>
  <si>
    <t>面板自重均布荷载qy1=Ψ2*n*W*cosθ/Lh=</t>
  </si>
  <si>
    <t>K2</t>
  </si>
  <si>
    <t>主梁自重均布荷载qy2=Ψ2*Gz*cosθ=</t>
  </si>
  <si>
    <t>K2插值法</t>
  </si>
  <si>
    <t>檩条自重均布荷载qy3= Ψ2*GL*L(n+1)*cosθ/L3</t>
  </si>
  <si>
    <t>Y方向总荷载qyz(KN/m)=qyf+qy1+qy2+qy3=</t>
  </si>
  <si>
    <t>面板自重均布荷载qx1=1.2*n*W*sinsθ/Lh=</t>
  </si>
  <si>
    <t>主梁自重均布荷载qx2=Ψ2*Gz*sinθ=</t>
  </si>
  <si>
    <t>檩条自重均布荷载qx3=Ψ2*GL*L(n+1)*sinθ/L3</t>
  </si>
  <si>
    <t>X方向总荷载qx=qx1+qx2+qx3=</t>
  </si>
  <si>
    <t>Y方向弯矩MBx=K1*qL2^2=</t>
  </si>
  <si>
    <t>Y方向弯矩MCx=-K2*qL2^2=</t>
  </si>
  <si>
    <t>K3</t>
  </si>
  <si>
    <t>Y方向弯矩M1x=-K3*qL1^2=</t>
  </si>
  <si>
    <t>K3插值法</t>
  </si>
  <si>
    <t>Y方向弯矩M2x=-K4*qL2^2=</t>
  </si>
  <si>
    <t>Y方向弯矩M3x=-K5*qL3^2=</t>
  </si>
  <si>
    <t>X方向弯矩MBy=K1*qL2^2=</t>
  </si>
  <si>
    <t>x方向弯矩MCy=K2*qL2^2=</t>
  </si>
  <si>
    <t>x方向弯矩M1y=K3*qL1^2=</t>
  </si>
  <si>
    <t>x方向弯矩M2y=K4*qL2^2=</t>
  </si>
  <si>
    <t>x方向弯矩M3y=K5*qL3^2=</t>
  </si>
  <si>
    <t>Y方向左侧剪力VBy=-（0.5-K1/m2）ql1</t>
  </si>
  <si>
    <t>K4</t>
  </si>
  <si>
    <t>Y方向右侧剪力VBy=（0.5-K1+K2）ql2</t>
  </si>
  <si>
    <t>K4插值法</t>
  </si>
  <si>
    <t>Y方向左侧剪力VCy=-（0.5+K1-K2）ql2</t>
  </si>
  <si>
    <t>Y方向右侧剪力VCy=-（0.5-K2/n2）ql3</t>
  </si>
  <si>
    <t>X方向左侧剪力VBX=-（0.5-K1/m2）ql1</t>
  </si>
  <si>
    <t>X方向右侧剪力VBX=（0.5-K1+K2）ql2</t>
  </si>
  <si>
    <t>X方向左侧剪力VCX=-（0.5+K1-K2）ql2</t>
  </si>
  <si>
    <t>X方向右侧剪力VCX=-（0.5-K2/n2）ql3</t>
  </si>
  <si>
    <t>面板偏心扭矩Tm=np*W*h=</t>
  </si>
  <si>
    <t>风荷载扭矩Tf=Ψ1*Wo*A*np*L*Cm*Daf=</t>
  </si>
  <si>
    <t>K5</t>
  </si>
  <si>
    <t>最大扭矩T总=Tm+Tf=</t>
  </si>
  <si>
    <t>K5插值法</t>
  </si>
  <si>
    <t>弯矩图如下：</t>
  </si>
  <si>
    <t>主梁最大应力σmax(Mpa)=MX/Wx+My/Wz=</t>
  </si>
  <si>
    <r>
      <rPr>
        <sz val="9"/>
        <color theme="1"/>
        <rFont val="等线"/>
        <family val="3"/>
        <charset val="134"/>
        <scheme val="minor"/>
      </rPr>
      <t>剪应力τ</t>
    </r>
    <r>
      <rPr>
        <b/>
        <sz val="9"/>
        <color theme="1"/>
        <rFont val="等线"/>
        <family val="3"/>
        <charset val="134"/>
        <scheme val="minor"/>
      </rPr>
      <t>=</t>
    </r>
    <r>
      <rPr>
        <sz val="9"/>
        <color theme="1"/>
        <rFont val="等线"/>
        <family val="3"/>
        <charset val="134"/>
        <scheme val="minor"/>
      </rPr>
      <t>V总*Q/It=</t>
    </r>
  </si>
  <si>
    <t>扭应力υ=T总*C/J=</t>
  </si>
  <si>
    <t>弯、剪、扭复合强度σmax=</t>
  </si>
  <si>
    <t>应力比R=</t>
  </si>
  <si>
    <t>自定义</t>
  </si>
  <si>
    <t>2.3主梁荷载及强度计算-逆风向</t>
  </si>
  <si>
    <t>正吹-0度风</t>
  </si>
  <si>
    <t>逆吹-180度风</t>
  </si>
  <si>
    <t xml:space="preserve">                      CN /CM
    倾角</t>
  </si>
  <si>
    <t>上CN1</t>
  </si>
  <si>
    <t>下CN2</t>
  </si>
  <si>
    <t>CM</t>
  </si>
  <si>
    <t xml:space="preserve">       CN /CM
    倾角</t>
  </si>
  <si>
    <t>2P</t>
  </si>
  <si>
    <t>Y方向总荷载qyz(KN/m)=qyf-qy1-qy2-qy3=</t>
  </si>
  <si>
    <t>檩条自重均布荷载qy3= Ψ2*GL*L(n+1)*sinθ/L3</t>
  </si>
  <si>
    <t>3. 檩条荷载及强度计算</t>
  </si>
  <si>
    <t>檩条规格</t>
  </si>
  <si>
    <t>J50*30*26.5*1.5</t>
  </si>
  <si>
    <t>檩条材质</t>
  </si>
  <si>
    <t>y轴抗弯模量Wy=</t>
  </si>
  <si>
    <t>Z轴抗弯模量Wz=</t>
  </si>
  <si>
    <r>
      <rPr>
        <sz val="9"/>
        <color theme="1"/>
        <rFont val="等线"/>
        <family val="3"/>
        <charset val="134"/>
        <scheme val="minor"/>
      </rPr>
      <t>z轴惯性矩</t>
    </r>
    <r>
      <rPr>
        <sz val="10"/>
        <color theme="1"/>
        <rFont val="等线"/>
        <family val="3"/>
        <charset val="134"/>
      </rPr>
      <t>I</t>
    </r>
    <r>
      <rPr>
        <sz val="9"/>
        <color theme="1"/>
        <rFont val="等线"/>
        <family val="3"/>
        <charset val="134"/>
      </rPr>
      <t>z=</t>
    </r>
  </si>
  <si>
    <t>弹性模量E=</t>
  </si>
  <si>
    <t>檩条自重GL=</t>
  </si>
  <si>
    <t>AE=BF</t>
  </si>
  <si>
    <t>檩条长度L=</t>
  </si>
  <si>
    <t>AB=</t>
  </si>
  <si>
    <t>主梁两侧孔距s=</t>
  </si>
  <si>
    <t>AC=BD=</t>
  </si>
  <si>
    <t>面板总长L=</t>
  </si>
  <si>
    <t>3..1   檩条计算-顺风向</t>
  </si>
  <si>
    <t xml:space="preserve">                    类型                               角度  </t>
  </si>
  <si>
    <t>上面板风压WLs=Ψ1*Ws*A/2=</t>
  </si>
  <si>
    <t>下面板风压WLX=Ψ1*WX*A/2=</t>
  </si>
  <si>
    <t>上侧-檩条风产生均布荷载qls(KN/m)=WLS/0.5*L=</t>
  </si>
  <si>
    <t>下侧-檩条风产生均布荷载qlx(KN/m)=WLx/0.5*L=</t>
  </si>
  <si>
    <t>面板自重均布荷载qy1=Ψ2*W*cosθ/L=</t>
  </si>
  <si>
    <t>上侧荷载qyz(KN/m)=qls+qy1=</t>
  </si>
  <si>
    <t>下侧荷载qyz(KN/m)=qlx+qy1=</t>
  </si>
  <si>
    <t>反力Ra=</t>
  </si>
  <si>
    <t>反力Rb=</t>
  </si>
  <si>
    <t>檩条弯矩MC=Ra*AC</t>
  </si>
  <si>
    <t>檩条弯矩MD=Ra*BD</t>
  </si>
  <si>
    <t>C处最大应力σmax=Mc/w</t>
  </si>
  <si>
    <t>D处最大应力σmax=MD/W</t>
  </si>
  <si>
    <t>应力比比R=</t>
  </si>
  <si>
    <t>3.   檩条计算-逆风向</t>
  </si>
  <si>
    <t>上侧荷载qyz(KN/m)=qls-qy1=</t>
  </si>
  <si>
    <t>下侧荷载qyz(KN/m)=qlx-qy1=</t>
  </si>
  <si>
    <t>4 .立柱计算</t>
  </si>
  <si>
    <t>4 .1立柱荷载及强度计算-顺风向</t>
  </si>
  <si>
    <t>驱动立柱信息</t>
  </si>
  <si>
    <t>非驱动立柱信息</t>
  </si>
  <si>
    <t>驱动立柱规格</t>
  </si>
  <si>
    <t>H200*100*5.2*4.3</t>
  </si>
  <si>
    <t>非驱动立柱规格</t>
  </si>
  <si>
    <t>H150*100*5.5*4.3</t>
  </si>
  <si>
    <t>立柱材质</t>
  </si>
  <si>
    <t>立柱抗弯模量WY=</t>
  </si>
  <si>
    <t>立柱抗弯模量WZ=</t>
  </si>
  <si>
    <t>惯性矩Iy=</t>
  </si>
  <si>
    <t>惯性矩IZ=</t>
  </si>
  <si>
    <t>立柱截面积A=</t>
  </si>
  <si>
    <t>mm2</t>
  </si>
  <si>
    <t>立柱自重Gz=</t>
  </si>
  <si>
    <t>KN</t>
  </si>
  <si>
    <t>立柱高度H=</t>
  </si>
  <si>
    <t>立柱迎风面A=</t>
  </si>
  <si>
    <t>面板总数量n=</t>
  </si>
  <si>
    <t>立柱体系系数GC</t>
  </si>
  <si>
    <t>n跨对立柱总风压Wmz=Wz*n*sinθ=</t>
  </si>
  <si>
    <t>立柱风压WLZ=Ψ1*Wo*A</t>
  </si>
  <si>
    <t>风扭T1=Ψ1*Wo*A*N*L*Cm=</t>
  </si>
  <si>
    <t>面板自重扭T2=Ψ2*n*W*sinθ*h=</t>
  </si>
  <si>
    <t>檩条自重扭T3=Ψ2*GL*L*(n+2)sinθ*h</t>
  </si>
  <si>
    <t>附加扭矩总和T=T1+T2+T3=</t>
  </si>
  <si>
    <t>非驱动立柱弯矩M=Wmz*H+WLZ*H*0.5=</t>
  </si>
  <si>
    <t>驱动立柱弯矩M=Wmz*H+WLZ*H*0.5+T=</t>
  </si>
  <si>
    <t>底部剪力V=Wz*sinθ+WLZ</t>
  </si>
  <si>
    <t>非驱动立柱最大应力σmax(Mpa)=M/W=</t>
  </si>
  <si>
    <t>驱动立柱最大应力σmax(Mpa)=M/W=</t>
  </si>
  <si>
    <t>非驱动立柱应力比R=</t>
  </si>
  <si>
    <t>驱动立柱应力比R=</t>
  </si>
  <si>
    <t>4 .2立柱荷载及强度计算-逆风向</t>
  </si>
  <si>
    <t>立柱风压WLZ=Wo*A*Ψ1</t>
  </si>
  <si>
    <t>风扭T1=Ψ1*Wo*A*N*L*Cm*h=</t>
  </si>
  <si>
    <t>面板自重扭T2=Ψ2*n*W*h=</t>
  </si>
  <si>
    <t>说明：1.适用于1P单点驱动，减速机按照刚接  2.适用于2P减速机按照刚接考虑</t>
  </si>
  <si>
    <t>基本雪压Sw=</t>
  </si>
  <si>
    <t>KN/m2</t>
  </si>
  <si>
    <t>O140*3</t>
  </si>
  <si>
    <t>2.2主梁荷载及强度计算-顺风向-以风为主导</t>
  </si>
  <si>
    <t>横梁跨数</t>
  </si>
  <si>
    <t>抗风模式</t>
  </si>
  <si>
    <t>运行模式</t>
  </si>
  <si>
    <t>面板上侧体系系数DAF*GCN1</t>
  </si>
  <si>
    <t>面板下侧体系系数DAF*GCN2</t>
  </si>
  <si>
    <t>跨内弯矩</t>
  </si>
  <si>
    <t>支座弯矩</t>
  </si>
  <si>
    <t>剪力</t>
  </si>
  <si>
    <t>跨中挠度</t>
  </si>
  <si>
    <t>跨数</t>
  </si>
  <si>
    <t>M1</t>
  </si>
  <si>
    <t>M2</t>
  </si>
  <si>
    <t>Mb</t>
  </si>
  <si>
    <t>Mc</t>
  </si>
  <si>
    <t>Va</t>
  </si>
  <si>
    <t>VB左</t>
  </si>
  <si>
    <t>W1</t>
  </si>
  <si>
    <t>W2</t>
  </si>
  <si>
    <t>风雪组合系数Ψ3=</t>
  </si>
  <si>
    <t>积雪分布系数μr=</t>
  </si>
  <si>
    <t>雪均布荷载qsw=Ψ1*Ψ3*n*Sw*A*sinsθ/Lh=</t>
  </si>
  <si>
    <t>面板自重均布荷载qx1=Ψ2*n*W*sinsθ/Lh=</t>
  </si>
  <si>
    <t>角度</t>
  </si>
  <si>
    <t>μr</t>
  </si>
  <si>
    <t>X方向总荷载qx=qx1+qx2+qx3+qsw=</t>
  </si>
  <si>
    <t>Y方向左侧剪力VBy=K3ql1</t>
  </si>
  <si>
    <t>Y方向右侧剪力VBy=k4ql2</t>
  </si>
  <si>
    <t>X方向左侧剪力VBX=k3ql1</t>
  </si>
  <si>
    <t>X方向右侧剪力VBX=k4ql2</t>
  </si>
  <si>
    <t>面板偏心扭矩Tm=np*W*h*SINθ=</t>
  </si>
  <si>
    <t>2.3主梁荷载及强度计算-逆风向-以风为主导</t>
  </si>
  <si>
    <t>Y方向右侧剪力VBy=K4ql2</t>
  </si>
  <si>
    <t>面板偏心扭矩Tm=np*W*h**SINθ=</t>
  </si>
  <si>
    <t>光伏跟踪荷载计算</t>
  </si>
  <si>
    <t>（10min平均风速）</t>
  </si>
  <si>
    <t>最大雪压Sn=</t>
  </si>
  <si>
    <t>2p输入2块重量</t>
  </si>
  <si>
    <t>2p输入2块总长</t>
  </si>
  <si>
    <t>重要性系数=</t>
  </si>
  <si>
    <t>2.檩条荷载施加</t>
  </si>
  <si>
    <t>2.1 顺风向荷载计算</t>
  </si>
  <si>
    <t xml:space="preserve">                            组件倾角θ
     类型</t>
  </si>
  <si>
    <t>面板下侧风压Wx=qsw*GCN1*DAF
（KN/m2）</t>
  </si>
  <si>
    <t>面板弦长Lh=L*0.5=</t>
  </si>
  <si>
    <t>上/下面板面积A=B*L*0.5=</t>
  </si>
  <si>
    <t>上檩条均布风荷载qwS(KN/m)=Ws*A/Lh=</t>
  </si>
  <si>
    <t>下檩条均布风荷载qwx(KN/m)=W*A/Lh=</t>
  </si>
  <si>
    <t>面板自重qz(KN/m)=</t>
  </si>
  <si>
    <t>雪压qsn(KN/m)=Sn*A/Lh</t>
  </si>
  <si>
    <t>2.逆顺风向荷载计算</t>
  </si>
  <si>
    <t>雪压qsn(KN/m)=</t>
  </si>
  <si>
    <t>柱底节点计算</t>
  </si>
  <si>
    <t>设计条件：</t>
  </si>
  <si>
    <t>钢材材质：</t>
  </si>
  <si>
    <t>GR50</t>
  </si>
  <si>
    <t>螺栓级别：</t>
  </si>
  <si>
    <t>Grade 75</t>
  </si>
  <si>
    <t>弯矩设计值M=</t>
  </si>
  <si>
    <t>KN*m</t>
  </si>
  <si>
    <t>钢材 抗拉强度</t>
  </si>
  <si>
    <t>螺栓抗拉强度</t>
  </si>
  <si>
    <t>剪力设计值V=</t>
  </si>
  <si>
    <t>钢材抗剪强度</t>
  </si>
  <si>
    <t>螺栓抗剪强度</t>
  </si>
  <si>
    <t>垂直设计值N=</t>
  </si>
  <si>
    <t>规格</t>
  </si>
  <si>
    <t>有效直径</t>
  </si>
  <si>
    <t>抗拉面积</t>
  </si>
  <si>
    <t>抗剪面积</t>
  </si>
  <si>
    <t>级别</t>
  </si>
  <si>
    <t>抗拉强度</t>
  </si>
  <si>
    <t>抗剪强度</t>
  </si>
  <si>
    <t>抗拉</t>
  </si>
  <si>
    <t>抗剪</t>
  </si>
  <si>
    <t>地脚螺栓材质</t>
  </si>
  <si>
    <t>M16</t>
  </si>
  <si>
    <t>4.8J</t>
  </si>
  <si>
    <t>Q235B</t>
  </si>
  <si>
    <t>地脚螺栓规格</t>
  </si>
  <si>
    <t>M24</t>
  </si>
  <si>
    <t>M20</t>
  </si>
  <si>
    <t>6.8J</t>
  </si>
  <si>
    <t>a=</t>
  </si>
  <si>
    <t>M22</t>
  </si>
  <si>
    <t>8.8J</t>
  </si>
  <si>
    <t>b=</t>
  </si>
  <si>
    <t>c=</t>
  </si>
  <si>
    <t>M27</t>
  </si>
  <si>
    <t>M30</t>
  </si>
  <si>
    <t>35#</t>
  </si>
  <si>
    <t>N=</t>
  </si>
  <si>
    <t>M33</t>
  </si>
  <si>
    <t>45#</t>
  </si>
  <si>
    <t>La=</t>
  </si>
  <si>
    <t>a+2c=</t>
  </si>
  <si>
    <t>mm</t>
  </si>
  <si>
    <t>M36</t>
  </si>
  <si>
    <t>Lb=</t>
  </si>
  <si>
    <t>b+2*c=</t>
  </si>
  <si>
    <t>M39</t>
  </si>
  <si>
    <t>地脚螺栓拉力计算：</t>
  </si>
  <si>
    <t>M42</t>
  </si>
  <si>
    <t>偏心距ey =</t>
  </si>
  <si>
    <t>M/N=</t>
  </si>
  <si>
    <t>M45</t>
  </si>
  <si>
    <t>ey</t>
  </si>
  <si>
    <t>Lb/6+C/3=</t>
  </si>
  <si>
    <t>M48</t>
  </si>
  <si>
    <t>计算柱脚底板受压区长度：</t>
  </si>
  <si>
    <t>M52</t>
  </si>
  <si>
    <t xml:space="preserve">	钢材和混凝土弹性模量的比值:</t>
  </si>
  <si>
    <t xml:space="preserve"> n =</t>
  </si>
  <si>
    <t>M56</t>
  </si>
  <si>
    <t>螺栓净截面面积A0=</t>
  </si>
  <si>
    <t>M60</t>
  </si>
  <si>
    <t>X向螺栓受拉数量nx=</t>
  </si>
  <si>
    <t>M64</t>
  </si>
  <si>
    <t xml:space="preserve">X向受拉侧锚栓的总有效面积: Aex =  </t>
  </si>
  <si>
    <t>nx *A0</t>
  </si>
  <si>
    <t>M68</t>
  </si>
  <si>
    <r>
      <rPr>
        <sz val="10"/>
        <color theme="1"/>
        <rFont val="等线"/>
        <family val="3"/>
        <charset val="134"/>
        <scheme val="minor"/>
      </rPr>
      <t>受压区长度由下面一元三次方程求得</t>
    </r>
    <r>
      <rPr>
        <sz val="10.5"/>
        <color theme="1"/>
        <rFont val="Times New Roman"/>
        <family val="1"/>
      </rPr>
      <t xml:space="preserve">: </t>
    </r>
  </si>
  <si>
    <t>M72</t>
  </si>
  <si>
    <r>
      <rPr>
        <sz val="10"/>
        <color theme="1"/>
        <rFont val="等线"/>
        <family val="3"/>
        <charset val="134"/>
        <scheme val="minor"/>
      </rPr>
      <t>x</t>
    </r>
    <r>
      <rPr>
        <vertAlign val="subscript"/>
        <sz val="10"/>
        <color theme="1"/>
        <rFont val="等线"/>
        <family val="3"/>
        <charset val="134"/>
        <scheme val="minor"/>
      </rPr>
      <t>n</t>
    </r>
    <r>
      <rPr>
        <vertAlign val="superscript"/>
        <sz val="10"/>
        <color theme="1"/>
        <rFont val="等线"/>
        <family val="3"/>
        <charset val="134"/>
        <scheme val="minor"/>
      </rPr>
      <t>3</t>
    </r>
    <r>
      <rPr>
        <sz val="10"/>
        <color theme="1"/>
        <rFont val="等线"/>
        <family val="3"/>
        <charset val="134"/>
        <scheme val="minor"/>
      </rPr>
      <t xml:space="preserve"> + Ax</t>
    </r>
    <r>
      <rPr>
        <vertAlign val="subscript"/>
        <sz val="10"/>
        <color theme="1"/>
        <rFont val="等线"/>
        <family val="3"/>
        <charset val="134"/>
        <scheme val="minor"/>
      </rPr>
      <t>n</t>
    </r>
    <r>
      <rPr>
        <vertAlign val="superscript"/>
        <sz val="10"/>
        <color theme="1"/>
        <rFont val="等线"/>
        <family val="3"/>
        <charset val="134"/>
        <scheme val="minor"/>
      </rPr>
      <t>2</t>
    </r>
    <r>
      <rPr>
        <sz val="10"/>
        <color theme="1"/>
        <rFont val="等线"/>
        <family val="3"/>
        <charset val="134"/>
        <scheme val="minor"/>
      </rPr>
      <t xml:space="preserve"> + Cx</t>
    </r>
    <r>
      <rPr>
        <vertAlign val="subscript"/>
        <sz val="10"/>
        <color theme="1"/>
        <rFont val="等线"/>
        <family val="3"/>
        <charset val="134"/>
        <scheme val="minor"/>
      </rPr>
      <t>n</t>
    </r>
    <r>
      <rPr>
        <sz val="10"/>
        <color theme="1"/>
        <rFont val="等线"/>
        <family val="3"/>
        <charset val="134"/>
        <scheme val="minor"/>
      </rPr>
      <t xml:space="preserve"> + D = 0</t>
    </r>
  </si>
  <si>
    <t>其中系数</t>
  </si>
  <si>
    <t>M76</t>
  </si>
  <si>
    <t>A = 3(ey - La/2) =</t>
  </si>
  <si>
    <t>C = 6nAex*(ey + Lb/2 -c) /La=</t>
  </si>
  <si>
    <t>D = 6nAex(ey + Lb/2 - c)(lc - L)/La=</t>
  </si>
  <si>
    <t>单变量求解Xn=</t>
  </si>
  <si>
    <t>Y方向混凝土最大压应力:</t>
  </si>
  <si>
    <t>σy = 2N(ey+Lb/2- lc)/B/(L-c-xn/3)xn =</t>
  </si>
  <si>
    <t>N/mm2</t>
  </si>
  <si>
    <t>系数α</t>
  </si>
  <si>
    <t xml:space="preserve">X方向锚栓总拉力: </t>
  </si>
  <si>
    <t>b2/a2</t>
  </si>
  <si>
    <t>Tax = N(ey - Lb/2 + xn/3)Lb -c - xn/3 =</t>
  </si>
  <si>
    <t>单个螺栓所承受拉力Nt=</t>
  </si>
  <si>
    <t>Tax/2=</t>
  </si>
  <si>
    <t>螺栓抗力强度f=</t>
  </si>
  <si>
    <t>单个螺栓抗抗拉强度ft=</t>
  </si>
  <si>
    <t>f*A0</t>
  </si>
  <si>
    <t>Nt</t>
  </si>
  <si>
    <t>ft</t>
  </si>
  <si>
    <t>应力比=</t>
  </si>
  <si>
    <t>柱脚底板计算：</t>
  </si>
  <si>
    <t>螺栓孔直径D=</t>
  </si>
  <si>
    <t>底板材质</t>
  </si>
  <si>
    <t>法兰板厚t=</t>
  </si>
  <si>
    <t>钢材抗拉强度设计值f=</t>
  </si>
  <si>
    <t>b2=</t>
  </si>
  <si>
    <t>M1=</t>
  </si>
  <si>
    <t>1/2*σy *b2^2=</t>
  </si>
  <si>
    <t>N*mm</t>
  </si>
  <si>
    <t>无加劲板时受压侧底板厚度t=</t>
  </si>
  <si>
    <t>SQRT(6*M1/f)=</t>
  </si>
  <si>
    <t>无加劲板时受拉侧底板厚度t=</t>
  </si>
  <si>
    <t>SQRT(6*Nt*b2/(D+2*b2)/f)=</t>
  </si>
  <si>
    <t>加劲板计算：</t>
  </si>
  <si>
    <t>钢材抗剪设计值fv=</t>
  </si>
  <si>
    <t>加劲板厚度t=</t>
  </si>
  <si>
    <t>加劲板厚度h=</t>
  </si>
  <si>
    <t>剪应力τ=</t>
  </si>
  <si>
    <t>2*Nt/h/t=</t>
  </si>
  <si>
    <t>正剪应力σf=</t>
  </si>
  <si>
    <t>5*Nt*b2/h2/t=</t>
  </si>
  <si>
    <t>剪应力τ</t>
  </si>
  <si>
    <t>fv</t>
  </si>
  <si>
    <t>正剪应力σf</t>
  </si>
  <si>
    <t>项   目   名   称：</t>
  </si>
  <si>
    <t>国华跟踪支架研发（60A型）</t>
  </si>
  <si>
    <t>减速机选型</t>
  </si>
  <si>
    <t>最大风速V1=</t>
  </si>
  <si>
    <t>风压Wmax.=</t>
  </si>
  <si>
    <t>保护风速V2=</t>
  </si>
  <si>
    <t>风压Wpt.=</t>
  </si>
  <si>
    <t>面板宽度a=</t>
  </si>
  <si>
    <t>轴承直径d=</t>
  </si>
  <si>
    <t>摩擦系数μ=</t>
  </si>
  <si>
    <t>一块光伏面板面积A=</t>
  </si>
  <si>
    <t>面板倾角θ=</t>
  </si>
  <si>
    <t>度</t>
  </si>
  <si>
    <t>面板扭矩系数γ1=</t>
  </si>
  <si>
    <t>面板体型系数γ2=</t>
  </si>
  <si>
    <t>大风放大系数β1=</t>
  </si>
  <si>
    <t>保护放大系数β2=</t>
  </si>
  <si>
    <t>面板数量P=</t>
  </si>
  <si>
    <t>面板与主梁平面距离S=</t>
  </si>
  <si>
    <t>扭矩计算：</t>
  </si>
  <si>
    <t>最大风速下扭矩Tnm=</t>
  </si>
  <si>
    <t>Wmax.*A*L*γ1*P*β1=</t>
  </si>
  <si>
    <t>保护风速下扭矩Tnp=</t>
  </si>
  <si>
    <t>Wpt.*A*L*γ1*P*β2=</t>
  </si>
  <si>
    <t>面板自重产生偏心弯矩Mp=</t>
  </si>
  <si>
    <t>W*P*S*cos(90-θ)=</t>
  </si>
  <si>
    <t>风 摩擦 阻力弯矩Mc=</t>
  </si>
  <si>
    <t>Wmax.*A*γ2*P*μ*d/2=</t>
  </si>
  <si>
    <t>自重摩擦 阻力弯矩Mz=</t>
  </si>
  <si>
    <t>W*P*d/2=</t>
  </si>
  <si>
    <t xml:space="preserve"> 减速机荷载提资：</t>
  </si>
  <si>
    <t>输出转矩T=</t>
  </si>
  <si>
    <t>Tp+Mp+Mc+Mz=</t>
  </si>
  <si>
    <t>保持转矩T=</t>
  </si>
  <si>
    <t>Tnp+Mp=</t>
  </si>
  <si>
    <t xml:space="preserve">    设计：                         审核 ：                                  批准：                           日期：</t>
  </si>
  <si>
    <t>风压、雪压重现期换算</t>
  </si>
  <si>
    <t>风压转换</t>
  </si>
  <si>
    <t>W50=</t>
  </si>
  <si>
    <t>W10=</t>
  </si>
  <si>
    <t>W25=</t>
  </si>
  <si>
    <t>W100=</t>
  </si>
  <si>
    <t>雪压转换</t>
  </si>
  <si>
    <t>S50=</t>
  </si>
  <si>
    <t>S10=</t>
  </si>
  <si>
    <t>S25=</t>
  </si>
  <si>
    <t>S100=</t>
  </si>
  <si>
    <t xml:space="preserve">主梁各个工况计算书  </t>
  </si>
  <si>
    <t>4边</t>
  </si>
  <si>
    <t>折减后应力ft=</t>
  </si>
  <si>
    <t>国标</t>
  </si>
  <si>
    <t>美标</t>
  </si>
  <si>
    <t xml:space="preserve">   47m/s（ASCE） 面板地面夹角 30度 </t>
  </si>
  <si>
    <t>综合剪力V=</t>
  </si>
  <si>
    <t>S22=s33=</t>
  </si>
  <si>
    <t>Fcr=</t>
  </si>
  <si>
    <t>h/t=</t>
  </si>
  <si>
    <t>CV=</t>
  </si>
  <si>
    <t>SQRT(F)*W/t</t>
  </si>
  <si>
    <t>折弯R</t>
  </si>
  <si>
    <t>口径(mm)</t>
  </si>
  <si>
    <t>Cx</t>
  </si>
  <si>
    <t>ZX=Zy=</t>
  </si>
  <si>
    <t>C=</t>
  </si>
  <si>
    <t>Kv=</t>
  </si>
  <si>
    <t>板厚(mm)</t>
  </si>
  <si>
    <t>Cy</t>
  </si>
  <si>
    <t>剪应力=</t>
  </si>
  <si>
    <t>Vn=</t>
  </si>
  <si>
    <t>Tc=Fcr*C=</t>
  </si>
  <si>
    <t>Cv=</t>
  </si>
  <si>
    <t>Mx（kn*m）Trans</t>
  </si>
  <si>
    <t>σx</t>
  </si>
  <si>
    <t>扭矩T=</t>
  </si>
  <si>
    <t>V/Vn=</t>
  </si>
  <si>
    <t>Tr/tc=</t>
  </si>
  <si>
    <t>Au=</t>
  </si>
  <si>
    <t>My（kn*m）Long</t>
  </si>
  <si>
    <t>σy</t>
  </si>
  <si>
    <t>Mn'=Mp=fy*z</t>
  </si>
  <si>
    <t>Mx/Mn=</t>
  </si>
  <si>
    <t>Ix=Iy</t>
  </si>
  <si>
    <t>综合σ</t>
  </si>
  <si>
    <t>扭矩产生应力=</t>
  </si>
  <si>
    <t>应力比</t>
  </si>
  <si>
    <t>翼缘Mn=</t>
  </si>
  <si>
    <t>My/Mn=</t>
  </si>
  <si>
    <t>重量kg/m</t>
  </si>
  <si>
    <t>弯、剪、扭应力=</t>
  </si>
  <si>
    <t>腹板Mn=</t>
  </si>
  <si>
    <t>D/C=</t>
  </si>
  <si>
    <t xml:space="preserve">   47m/s（ASCE）面板地面夹角 45度 </t>
  </si>
  <si>
    <t>W/t</t>
  </si>
  <si>
    <t xml:space="preserve">   47m/s（ASCE)  面板地面夹角60度 </t>
  </si>
  <si>
    <t>主梁各个工况计算书</t>
  </si>
  <si>
    <t xml:space="preserve">   47m/s（ASCE）    面板地面夹角 30度 </t>
  </si>
  <si>
    <t xml:space="preserve">   47m/s（ASCE）    面板地面夹角 45度 </t>
  </si>
  <si>
    <t xml:space="preserve">   47m/s（ASCE）    面板地面夹角 60度 </t>
  </si>
  <si>
    <t>主梁弯、剪、扭计算</t>
  </si>
  <si>
    <t>序号</t>
  </si>
  <si>
    <t>截面类形</t>
  </si>
  <si>
    <t>截面   边数</t>
  </si>
  <si>
    <t>折弯R角</t>
  </si>
  <si>
    <t>单重（kg/m）</t>
  </si>
  <si>
    <t>材质(Mpa)</t>
  </si>
  <si>
    <t>强度设计值(Mpa)</t>
  </si>
  <si>
    <t>Mx
弯矩(KN*m)</t>
  </si>
  <si>
    <t>My
弯矩(KN*m)</t>
  </si>
  <si>
    <t>V
剪力(KN)</t>
  </si>
  <si>
    <t>T
扭矩(KN*m)</t>
  </si>
  <si>
    <t>σ
复合应力(Mpa)</t>
  </si>
  <si>
    <t>R
应力比</t>
  </si>
  <si>
    <t>扭转/挠度 计算长度（mm）</t>
  </si>
  <si>
    <t>扭转角度
（度）</t>
  </si>
  <si>
    <t>悬臂挠度（mm）</t>
  </si>
  <si>
    <t>备注</t>
  </si>
  <si>
    <r>
      <rPr>
        <sz val="10"/>
        <color theme="1"/>
        <rFont val="Calibri"/>
        <family val="2"/>
      </rPr>
      <t>σ</t>
    </r>
    <r>
      <rPr>
        <sz val="10"/>
        <color theme="1"/>
        <rFont val="Calibri"/>
        <family val="2"/>
      </rPr>
      <t>x</t>
    </r>
  </si>
  <si>
    <r>
      <rPr>
        <sz val="10"/>
        <color theme="1"/>
        <rFont val="Calibri"/>
        <family val="2"/>
      </rPr>
      <t>σ</t>
    </r>
    <r>
      <rPr>
        <sz val="10"/>
        <color theme="1"/>
        <rFont val="Calibri"/>
        <family val="2"/>
      </rPr>
      <t>y</t>
    </r>
  </si>
  <si>
    <t>Q/It</t>
  </si>
  <si>
    <t>C/J</t>
  </si>
  <si>
    <t>剪应力</t>
  </si>
  <si>
    <t>扭矩产生应力</t>
  </si>
  <si>
    <t>Ip</t>
  </si>
  <si>
    <t>G</t>
  </si>
  <si>
    <t>正       多      边       形</t>
  </si>
  <si>
    <t>非               正              八                边                  形</t>
  </si>
  <si>
    <t>-</t>
  </si>
  <si>
    <t>0形截面特性计算</t>
  </si>
  <si>
    <t>口径</t>
  </si>
  <si>
    <t>板厚</t>
  </si>
  <si>
    <t>面积
mm2</t>
  </si>
  <si>
    <t>重量
kg/m</t>
  </si>
  <si>
    <t>惯性矩Ix
mm4</t>
  </si>
  <si>
    <t>惯性矩Iy
mm4</t>
  </si>
  <si>
    <t>光伏固定支架荷载计算书</t>
  </si>
  <si>
    <t>第六版P375</t>
  </si>
  <si>
    <t>P335</t>
  </si>
  <si>
    <t>风压Wo=</t>
  </si>
  <si>
    <t>自定义体系系数</t>
  </si>
  <si>
    <t>体系系数（NB/T 10115）</t>
  </si>
  <si>
    <t>雪压S0=</t>
  </si>
  <si>
    <t>\</t>
  </si>
  <si>
    <t>μs</t>
  </si>
  <si>
    <t>面板倾角Φ=</t>
  </si>
  <si>
    <t>正压</t>
  </si>
  <si>
    <t>柱间距L=</t>
  </si>
  <si>
    <t>负压</t>
  </si>
  <si>
    <t>拉条设置数量</t>
  </si>
  <si>
    <t>插值法</t>
  </si>
  <si>
    <t>面板长度b=</t>
  </si>
  <si>
    <t>面板自重M=</t>
  </si>
  <si>
    <t>Kg</t>
  </si>
  <si>
    <t>面积A=a*b=</t>
  </si>
  <si>
    <t>2.风荷载计算-正压</t>
  </si>
  <si>
    <t>体系系数</t>
  </si>
  <si>
    <t>Wkz=γ*βz·μz·μs·W0=</t>
  </si>
  <si>
    <t>μs1</t>
  </si>
  <si>
    <t>μs2</t>
  </si>
  <si>
    <t>重要性系数γ=</t>
  </si>
  <si>
    <t>风振系数βz=</t>
  </si>
  <si>
    <t>风压高度变化系数μz=</t>
  </si>
  <si>
    <t>体系系数μs=</t>
  </si>
  <si>
    <t>3.风荷载计算-负压</t>
  </si>
  <si>
    <t>Wkn=γ*βz·μz·μs·W0=</t>
  </si>
  <si>
    <t>4.雪压计算</t>
  </si>
  <si>
    <t>Sn=S0*μr=</t>
  </si>
  <si>
    <t>5.输入荷载计算</t>
  </si>
  <si>
    <t>三维计算</t>
  </si>
  <si>
    <t>输入檩条荷载</t>
  </si>
  <si>
    <t>自重DEDD(D)=</t>
  </si>
  <si>
    <t>正压WIND(Wz)=</t>
  </si>
  <si>
    <t>负压WIND(Wn)=</t>
  </si>
  <si>
    <t>雪压Snow(S)=</t>
  </si>
  <si>
    <t>二维计算</t>
  </si>
  <si>
    <t>输入斜梁荷载</t>
  </si>
  <si>
    <t>自重DEAD=</t>
  </si>
  <si>
    <t>正压WIND=</t>
  </si>
  <si>
    <t>负压WIND=</t>
  </si>
  <si>
    <t>雪压Snow=</t>
  </si>
  <si>
    <t>6.檩条受力计算</t>
  </si>
  <si>
    <t>恒载分项系数γ1=</t>
  </si>
  <si>
    <t>活荷载风向系数γ2=</t>
  </si>
  <si>
    <t>风雪组合系数ε=</t>
  </si>
  <si>
    <t>跨数nw=</t>
  </si>
  <si>
    <t>正压：</t>
  </si>
  <si>
    <t>檩条均布荷载qx=</t>
  </si>
  <si>
    <t>γ1*D*cosΦ+γ2*Wz+ε*γ2*S*cosΦ</t>
  </si>
  <si>
    <t>=</t>
  </si>
  <si>
    <t>檩条均布荷载qy=</t>
  </si>
  <si>
    <t>γ1*D*sinΦ+ε*γ2*S*sinΦ</t>
  </si>
  <si>
    <t>最大弯矩Mx=</t>
  </si>
  <si>
    <t>K1*qx*L2=</t>
  </si>
  <si>
    <t>最大弯矩My=</t>
  </si>
  <si>
    <t>K1*qy*L2=</t>
  </si>
  <si>
    <t>最大剪力Vx=</t>
  </si>
  <si>
    <t>K2*qx*L=</t>
  </si>
  <si>
    <t>最大剪力Vy=</t>
  </si>
  <si>
    <t>K2*qy*L=</t>
  </si>
  <si>
    <t>负压：</t>
  </si>
  <si>
    <t>D*cosΦ+γ2*Wz</t>
  </si>
  <si>
    <t>D*sinΦ</t>
  </si>
  <si>
    <t>受压稳定最大弯矩Mx=</t>
  </si>
  <si>
    <t>受压稳定最大弯矩My=</t>
  </si>
  <si>
    <t>7.檩条强度、稳定计算</t>
  </si>
  <si>
    <t>强度计算最大弯矩Mx=</t>
  </si>
  <si>
    <t>卷边C型钢</t>
  </si>
  <si>
    <t>拉条设置</t>
  </si>
  <si>
    <t>板厚t</t>
  </si>
  <si>
    <t>γ</t>
  </si>
  <si>
    <t>强度计算最大弯矩My=</t>
  </si>
  <si>
    <t>高度h</t>
  </si>
  <si>
    <t>宽度b</t>
  </si>
  <si>
    <t>卷边a</t>
  </si>
  <si>
    <t>面积A</t>
  </si>
  <si>
    <t>Z0</t>
  </si>
  <si>
    <t>Ix(mm4)</t>
  </si>
  <si>
    <t>Iy(mm4)</t>
  </si>
  <si>
    <t>Wx(mm3)</t>
  </si>
  <si>
    <t>Wy(mm3)</t>
  </si>
  <si>
    <t>d</t>
  </si>
  <si>
    <t>It</t>
  </si>
  <si>
    <t>Iw</t>
  </si>
  <si>
    <t>稳定计算最大弯矩Mx=</t>
  </si>
  <si>
    <t>稳定计算最大弯矩My=</t>
  </si>
  <si>
    <t>ξ1</t>
  </si>
  <si>
    <t>ξ2</t>
  </si>
  <si>
    <t>C型钢</t>
  </si>
  <si>
    <t>Q450B</t>
  </si>
  <si>
    <t>C115x40x15x2</t>
  </si>
  <si>
    <t>主轴净截面系数</t>
  </si>
  <si>
    <t>次轴净截面系数</t>
  </si>
  <si>
    <t>净截面惯性矩Ix=</t>
  </si>
  <si>
    <t>净截面惯性矩Iy=</t>
  </si>
  <si>
    <t>净截面抗弯模量Wx=</t>
  </si>
  <si>
    <t>净截面抗弯模量Wy=</t>
  </si>
  <si>
    <t>重量G=</t>
  </si>
  <si>
    <t>z0</t>
  </si>
  <si>
    <t>ix</t>
  </si>
  <si>
    <t>iy</t>
  </si>
  <si>
    <t>L0跨度</t>
  </si>
  <si>
    <t>λx长细比</t>
  </si>
  <si>
    <t>λy</t>
  </si>
  <si>
    <t>Λw</t>
  </si>
  <si>
    <t>I2-A*E2/S2</t>
  </si>
  <si>
    <t>(s2+i2/)2s2</t>
  </si>
  <si>
    <t>s2</t>
  </si>
  <si>
    <t>i02</t>
  </si>
  <si>
    <t>ξ</t>
  </si>
  <si>
    <t>η</t>
  </si>
  <si>
    <t>稳定系数ψ</t>
  </si>
  <si>
    <t>e0</t>
  </si>
  <si>
    <t>e</t>
  </si>
  <si>
    <t>K</t>
  </si>
  <si>
    <t>q</t>
  </si>
  <si>
    <t>跨中</t>
  </si>
  <si>
    <t>Ww</t>
  </si>
  <si>
    <t>B/W</t>
  </si>
  <si>
    <t>σ=</t>
  </si>
  <si>
    <t>Mx/Wx+My/Wy +B/W</t>
  </si>
  <si>
    <t xml:space="preserve"> </t>
  </si>
  <si>
    <t>毛截面惯性矩Ix=</t>
  </si>
  <si>
    <t>毛截面惯性矩Iy=</t>
  </si>
  <si>
    <t>毛截面抗弯模量Wx=</t>
  </si>
  <si>
    <t>毛截面抗弯模量Wy=</t>
  </si>
  <si>
    <t>稳定系数ψ=</t>
  </si>
  <si>
    <t xml:space="preserve">Mx/ψWx+My/ψWy </t>
  </si>
  <si>
    <t>未开孔特性</t>
  </si>
  <si>
    <t>开孔后特性</t>
  </si>
  <si>
    <t>折减系数</t>
  </si>
  <si>
    <t>卷边C</t>
  </si>
  <si>
    <t>上翼缘开孔
直径</t>
  </si>
  <si>
    <t>下上翼缘开孔
直径</t>
  </si>
  <si>
    <t>腹板开孔
直径</t>
  </si>
  <si>
    <t>面积A
mm2</t>
  </si>
  <si>
    <t>X0</t>
  </si>
  <si>
    <t>Wymin
(mm3)</t>
  </si>
  <si>
    <t>面积折减</t>
  </si>
  <si>
    <t>Ix折减</t>
  </si>
  <si>
    <t>Iy折减</t>
  </si>
  <si>
    <t>应力增大系数</t>
  </si>
  <si>
    <t>预应力计算</t>
  </si>
  <si>
    <t>圆钢直径</t>
  </si>
  <si>
    <t>预应力(N)</t>
  </si>
  <si>
    <t>面积(mm^2)</t>
  </si>
  <si>
    <t>钢丝绳单重kg/km</t>
  </si>
  <si>
    <t>组件重量kg/km</t>
  </si>
  <si>
    <t>弹性模量(Mpa)</t>
  </si>
  <si>
    <t>档距（m）</t>
  </si>
  <si>
    <t>应变</t>
  </si>
  <si>
    <t>膨胀系数
(1/℃10-6)</t>
  </si>
  <si>
    <t>降低温度</t>
  </si>
  <si>
    <t>弧垂（mm）</t>
  </si>
  <si>
    <t>各工况下钢丝绳张力计算</t>
  </si>
  <si>
    <t>风载分项系数</t>
  </si>
  <si>
    <t>索预应力(N)</t>
  </si>
  <si>
    <t>膨胀系数(1/℃10-6)</t>
  </si>
  <si>
    <t>施工温度℃</t>
  </si>
  <si>
    <t>温度</t>
  </si>
  <si>
    <t>风雪组合系数</t>
  </si>
  <si>
    <t>一跨内组件数量</t>
  </si>
  <si>
    <t>组件宽度（m）</t>
  </si>
  <si>
    <t>组件长度(m)</t>
  </si>
  <si>
    <t>组件单重（kg）</t>
  </si>
  <si>
    <t>组件倾角</t>
  </si>
  <si>
    <t>体型系数</t>
  </si>
  <si>
    <t>风振系数</t>
  </si>
  <si>
    <t>σ</t>
  </si>
  <si>
    <t>恒载分项系数</t>
  </si>
  <si>
    <t>温度组合系数</t>
  </si>
  <si>
    <t xml:space="preserve">积雪分布系数 </t>
  </si>
  <si>
    <t>雪压KN/m2</t>
  </si>
  <si>
    <t>一块自重KN/m2</t>
  </si>
  <si>
    <t>风压KN/m2</t>
  </si>
  <si>
    <t>温度℃</t>
  </si>
  <si>
    <t>索张力（N）</t>
  </si>
  <si>
    <t>线长</t>
  </si>
  <si>
    <t>温差</t>
  </si>
  <si>
    <t>温度张力</t>
  </si>
  <si>
    <t>风荷载Wo/2*A</t>
  </si>
  <si>
    <t>σm</t>
  </si>
  <si>
    <t>雪N/m</t>
  </si>
  <si>
    <t>风N/m</t>
  </si>
  <si>
    <t>垂直风*cosθ</t>
  </si>
  <si>
    <t>水平风*cosθ</t>
  </si>
  <si>
    <t>组件自重N/m</t>
  </si>
  <si>
    <t>钢丝绳自重</t>
  </si>
  <si>
    <t>总N/m</t>
  </si>
  <si>
    <t>γm组件</t>
  </si>
  <si>
    <t>γm钢丝绳</t>
  </si>
  <si>
    <t>γ风1</t>
  </si>
  <si>
    <t>γ风2</t>
  </si>
  <si>
    <t>γ雪</t>
  </si>
  <si>
    <t>γ总挠度用</t>
  </si>
  <si>
    <t>γ总</t>
  </si>
  <si>
    <t>c</t>
  </si>
  <si>
    <t>△</t>
  </si>
  <si>
    <t>Θ</t>
  </si>
  <si>
    <t>预应力水泥桩强度计算书</t>
  </si>
  <si>
    <t xml:space="preserve"> 项目名称：                              型    号   ：φ150x8x16.13xY</t>
  </si>
  <si>
    <t>1.</t>
  </si>
  <si>
    <t>设计参数</t>
  </si>
  <si>
    <t>1）钢筋参数</t>
  </si>
  <si>
    <t>管桩长度L=</t>
  </si>
  <si>
    <t>填写区域</t>
  </si>
  <si>
    <t>砼杆壁厚(mm)</t>
  </si>
  <si>
    <t>自动生成</t>
  </si>
  <si>
    <t>管桩外径D=</t>
  </si>
  <si>
    <t>管桩内径d=</t>
  </si>
  <si>
    <t>钢丝直径d0=</t>
  </si>
  <si>
    <t>钢丝数量n=</t>
  </si>
  <si>
    <t>钢丝面积Ap=</t>
  </si>
  <si>
    <t>环形管桩截面积A=</t>
  </si>
  <si>
    <r>
      <rPr>
        <sz val="10"/>
        <rFont val="仿宋"/>
        <family val="3"/>
        <charset val="134"/>
      </rPr>
      <t>3.14*（D</t>
    </r>
    <r>
      <rPr>
        <vertAlign val="superscript"/>
        <sz val="10"/>
        <rFont val="仿宋"/>
        <family val="3"/>
        <charset val="134"/>
      </rPr>
      <t>2</t>
    </r>
    <r>
      <rPr>
        <sz val="10"/>
        <rFont val="仿宋"/>
        <family val="3"/>
        <charset val="134"/>
      </rPr>
      <t>-d</t>
    </r>
    <r>
      <rPr>
        <vertAlign val="superscript"/>
        <sz val="10"/>
        <rFont val="仿宋"/>
        <family val="3"/>
        <charset val="134"/>
      </rPr>
      <t>2</t>
    </r>
    <r>
      <rPr>
        <sz val="10"/>
        <rFont val="仿宋"/>
        <family val="3"/>
        <charset val="134"/>
      </rPr>
      <t>）/4=</t>
    </r>
  </si>
  <si>
    <r>
      <rPr>
        <sz val="10"/>
        <rFont val="仿宋"/>
        <family val="3"/>
        <charset val="134"/>
      </rPr>
      <t>预应力钢筋强度标准值f</t>
    </r>
    <r>
      <rPr>
        <vertAlign val="subscript"/>
        <sz val="10"/>
        <rFont val="仿宋"/>
        <family val="3"/>
        <charset val="134"/>
      </rPr>
      <t>pty</t>
    </r>
    <r>
      <rPr>
        <sz val="10"/>
        <rFont val="仿宋"/>
        <family val="3"/>
        <charset val="134"/>
      </rPr>
      <t>=</t>
    </r>
  </si>
  <si>
    <t>预应力钢筋抗拉强度设计值fp=</t>
  </si>
  <si>
    <t>预应力钢筋抗压强度设计值fp’=</t>
  </si>
  <si>
    <t>碳素钢丝弹性模量Es=</t>
  </si>
  <si>
    <t>碳素钢丝张拉控制应力σcon=</t>
  </si>
  <si>
    <t>0.75*fpt=</t>
  </si>
  <si>
    <t>2）混凝土参数(混凝土标号:C50)</t>
  </si>
  <si>
    <t>混凝土轴心抗压强度标准值fck=</t>
  </si>
  <si>
    <t>混凝土轴心抗压强度设计值fc=</t>
  </si>
  <si>
    <t>混凝土弯曲抗压强度标准值fcmk=</t>
  </si>
  <si>
    <t>混凝土弯曲抗压强度设计值fcm=</t>
  </si>
  <si>
    <t>混凝土抗拉强度标准值ftk=</t>
  </si>
  <si>
    <t>混凝土抗拉强度设计值ft=</t>
  </si>
  <si>
    <t>混凝土弹性模量Ec=</t>
  </si>
  <si>
    <t>脱模强度fcu=0.7*R=</t>
  </si>
  <si>
    <t>0.7*50=</t>
  </si>
  <si>
    <t>2.</t>
  </si>
  <si>
    <t>预应力损失计算</t>
  </si>
  <si>
    <t>1）张拉端锚具变形和钢筋内缩所引起预应力损失σL1，杆段张拉端至锚固端</t>
  </si>
  <si>
    <t>长度L=8000mm,张拉端锚具变形和内缩值，对墩头锚具一般α=1mm，则</t>
  </si>
  <si>
    <r>
      <rPr>
        <sz val="10"/>
        <rFont val="仿宋"/>
        <family val="3"/>
        <charset val="134"/>
      </rPr>
      <t>锚具损失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L1=α*Es/L=</t>
    </r>
  </si>
  <si>
    <r>
      <rPr>
        <sz val="10"/>
        <rFont val="仿宋"/>
        <family val="3"/>
        <charset val="134"/>
      </rPr>
      <t>2）混凝土加热养护时，张拉钢筋与钢模之间的温差引起的预应力损失σ</t>
    </r>
    <r>
      <rPr>
        <vertAlign val="subscript"/>
        <sz val="10"/>
        <rFont val="仿宋"/>
        <family val="3"/>
        <charset val="134"/>
      </rPr>
      <t>L3</t>
    </r>
  </si>
  <si>
    <r>
      <rPr>
        <sz val="10"/>
        <rFont val="仿宋"/>
        <family val="3"/>
        <charset val="134"/>
      </rPr>
      <t>钢板与钢筋之间温差△t=20</t>
    </r>
    <r>
      <rPr>
        <vertAlign val="superscript"/>
        <sz val="10"/>
        <rFont val="仿宋"/>
        <family val="3"/>
        <charset val="134"/>
      </rPr>
      <t>。</t>
    </r>
    <r>
      <rPr>
        <sz val="10"/>
        <rFont val="仿宋"/>
        <family val="3"/>
        <charset val="134"/>
      </rPr>
      <t>C</t>
    </r>
  </si>
  <si>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L3=2*△t=2*20=</t>
    </r>
  </si>
  <si>
    <r>
      <rPr>
        <sz val="10"/>
        <rFont val="仿宋"/>
        <family val="3"/>
        <charset val="134"/>
      </rPr>
      <t>3）预应力钢筋的应力松弛损失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LA</t>
    </r>
  </si>
  <si>
    <t>式中张拉系数ξ=0.9</t>
  </si>
  <si>
    <t>4）由于混凝土收缩，徐变引起的预应力损失σL5，按下面公式计算</t>
  </si>
  <si>
    <t>计算参数配筋率ρ=Ap/A=</t>
  </si>
  <si>
    <r>
      <rPr>
        <sz val="10"/>
        <rFont val="仿宋"/>
        <family val="3"/>
        <charset val="134"/>
      </rPr>
      <t>钢材弹性模量与混凝土弹性模量之比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EP=</t>
    </r>
  </si>
  <si>
    <t>ES/EC=</t>
  </si>
  <si>
    <r>
      <rPr>
        <sz val="10"/>
        <rFont val="仿宋"/>
        <family val="3"/>
        <charset val="134"/>
      </rPr>
      <t>考虑第一批预应力损失（</t>
    </r>
    <r>
      <rPr>
        <sz val="12"/>
        <rFont val="Calibri"/>
        <family val="2"/>
      </rPr>
      <t>σ</t>
    </r>
    <r>
      <rPr>
        <sz val="10"/>
        <rFont val="仿宋"/>
        <family val="3"/>
        <charset val="134"/>
      </rPr>
      <t>L1+</t>
    </r>
    <r>
      <rPr>
        <sz val="12"/>
        <rFont val="Calibri"/>
        <family val="2"/>
      </rPr>
      <t>σ</t>
    </r>
    <r>
      <rPr>
        <sz val="10"/>
        <rFont val="仿宋"/>
        <family val="3"/>
        <charset val="134"/>
      </rPr>
      <t>L3+</t>
    </r>
    <r>
      <rPr>
        <sz val="12"/>
        <rFont val="Calibri"/>
        <family val="2"/>
      </rPr>
      <t>σ</t>
    </r>
    <r>
      <rPr>
        <sz val="10"/>
        <rFont val="仿宋"/>
        <family val="3"/>
        <charset val="134"/>
      </rPr>
      <t>LA）后，预应力钢筋作用在混凝土截面上的法向应力</t>
    </r>
    <r>
      <rPr>
        <sz val="12"/>
        <rFont val="Calibri"/>
        <family val="2"/>
      </rPr>
      <t>σ</t>
    </r>
    <r>
      <rPr>
        <sz val="10"/>
        <rFont val="仿宋"/>
        <family val="3"/>
        <charset val="134"/>
      </rPr>
      <t>p</t>
    </r>
  </si>
  <si>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L1+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L3+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LA=</t>
    </r>
  </si>
  <si>
    <r>
      <rPr>
        <sz val="10"/>
        <rFont val="仿宋"/>
        <family val="3"/>
        <charset val="134"/>
      </rPr>
      <t>5）预应力总损失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</t>
    </r>
  </si>
  <si>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L=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L1+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L3+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LA+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L5=</t>
    </r>
  </si>
  <si>
    <t>3.</t>
  </si>
  <si>
    <r>
      <rPr>
        <b/>
        <sz val="12"/>
        <rFont val="仿宋"/>
        <family val="3"/>
        <charset val="134"/>
      </rPr>
      <t>预应力钢筋的有效预应力值σ</t>
    </r>
    <r>
      <rPr>
        <b/>
        <sz val="10"/>
        <rFont val="仿宋"/>
        <family val="3"/>
        <charset val="134"/>
      </rPr>
      <t>p0</t>
    </r>
  </si>
  <si>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p0=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con-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L=</t>
    </r>
  </si>
  <si>
    <t>4.</t>
  </si>
  <si>
    <t>受弯构件的正截面受弯承载弯矩M</t>
  </si>
  <si>
    <t>1）参数α和参数αt计算</t>
  </si>
  <si>
    <t>αt=1-1.5*α=</t>
  </si>
  <si>
    <t>2）相对含筋率ω</t>
  </si>
  <si>
    <t>&lt;</t>
  </si>
  <si>
    <t>符合要求</t>
  </si>
  <si>
    <t>3)管桩抗弯正截面承载弯矩</t>
  </si>
  <si>
    <t>故管桩最大承载弯矩M=</t>
  </si>
  <si>
    <t>kN*m</t>
  </si>
  <si>
    <t>弯矩标准值Mk=M/1.4=</t>
  </si>
  <si>
    <t xml:space="preserve">KN*m  </t>
  </si>
  <si>
    <t>5.</t>
  </si>
  <si>
    <t>管桩抗裂验算</t>
  </si>
  <si>
    <t>管桩要求在正常条件下受弯不出现裂纹（荷载标准值），抗裂等级二级。</t>
  </si>
  <si>
    <t>混凝土抗弯弯矩Mcr</t>
  </si>
  <si>
    <r>
      <rPr>
        <sz val="10"/>
        <rFont val="仿宋"/>
        <family val="3"/>
        <charset val="134"/>
      </rPr>
      <t>Mcr=（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pc+γ*ftk）*Wd=</t>
    </r>
  </si>
  <si>
    <t>式中，受拉区混凝土的塑性影响系数γ</t>
  </si>
  <si>
    <t>γ=2-0.4r1/r2=</t>
  </si>
  <si>
    <t>管桩换算截面弹性抵抗弯矩Wd</t>
  </si>
  <si>
    <r>
      <rPr>
        <sz val="10"/>
        <rFont val="仿宋"/>
        <family val="3"/>
        <charset val="134"/>
      </rPr>
      <t>换算截面A0=A+（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EP-</t>
    </r>
    <r>
      <rPr>
        <sz val="12"/>
        <rFont val="仿宋"/>
        <family val="3"/>
        <charset val="134"/>
      </rPr>
      <t>1</t>
    </r>
    <r>
      <rPr>
        <sz val="10"/>
        <rFont val="仿宋"/>
        <family val="3"/>
        <charset val="134"/>
      </rPr>
      <t>）*Ap=</t>
    </r>
  </si>
  <si>
    <r>
      <rPr>
        <sz val="10"/>
        <rFont val="仿宋"/>
        <family val="3"/>
        <charset val="134"/>
      </rPr>
      <t>考虑预应力损失后，混凝土截面上的有效预应力</t>
    </r>
    <r>
      <rPr>
        <sz val="12"/>
        <rFont val="仿宋"/>
        <family val="3"/>
        <charset val="134"/>
      </rPr>
      <t>σ</t>
    </r>
    <r>
      <rPr>
        <sz val="10"/>
        <rFont val="仿宋"/>
        <family val="3"/>
        <charset val="134"/>
      </rPr>
      <t>pc</t>
    </r>
  </si>
  <si>
    <t>故管桩开裂弯矩Mcr=</t>
  </si>
  <si>
    <t xml:space="preserve">   编制：               校核：               审核：             日期：</t>
  </si>
  <si>
    <t>螺旋锚基础计算书（圆柱剪切法）</t>
  </si>
  <si>
    <t>工程名称：</t>
  </si>
  <si>
    <t>塔型：</t>
  </si>
  <si>
    <t>螺旋锚基础上拔力标准值Tm=</t>
  </si>
  <si>
    <t>锚杆材质</t>
  </si>
  <si>
    <t>Q345B</t>
  </si>
  <si>
    <t>螺旋锚基础下压力标准值Fp=</t>
  </si>
  <si>
    <t>锚杆直径D=</t>
  </si>
  <si>
    <t>螺旋锚基础安全系数γf=</t>
  </si>
  <si>
    <t>锚杆壁厚t=</t>
  </si>
  <si>
    <t>螺旋锚上拔组合系数K1=</t>
  </si>
  <si>
    <t>单根锚杆埋深Hp=</t>
  </si>
  <si>
    <t>土壤凝聚力C=</t>
  </si>
  <si>
    <t>锚盘直径Dp=</t>
  </si>
  <si>
    <t>地基土实际饱和度Sr=</t>
  </si>
  <si>
    <t>%</t>
  </si>
  <si>
    <t>锚盘壁厚t=</t>
  </si>
  <si>
    <t>土加权平均重度γs=</t>
  </si>
  <si>
    <t>KN/m3</t>
  </si>
  <si>
    <t>锚盘材质=</t>
  </si>
  <si>
    <t>土壤侧阻力qm=</t>
  </si>
  <si>
    <t>Kpa</t>
  </si>
  <si>
    <t>螺栓锚根数n=</t>
  </si>
  <si>
    <t>土内摩擦角</t>
  </si>
  <si>
    <t>第一片螺旋锚盘埋置有效深度h1=</t>
  </si>
  <si>
    <t>第二片螺旋锚盘埋置有效深度h2=</t>
  </si>
  <si>
    <t>第三片螺旋锚盘埋置有效深度h3=</t>
  </si>
  <si>
    <t>第四片螺旋锚盘埋置有效深度h4=</t>
  </si>
  <si>
    <t>Md</t>
  </si>
  <si>
    <t>2.锚盘上拔力标准值计算</t>
  </si>
  <si>
    <t>2.1.  第一片锚盘上拔力标准值</t>
  </si>
  <si>
    <t>土壤计算凝聚力Cw=</t>
  </si>
  <si>
    <t>螺旋锚锚盘自重Qp=</t>
  </si>
  <si>
    <t>2.2  第二片锚盘上拔力标准值</t>
  </si>
  <si>
    <t>2.3   第三片锚盘上拔力标准值</t>
  </si>
  <si>
    <t>2.4   第四片锚盘上拔力标准值</t>
  </si>
  <si>
    <t>3.螺旋锚锚杆上拔承载力标准值计算</t>
  </si>
  <si>
    <t>单根锚杆上拔力Tg=</t>
  </si>
  <si>
    <t>0.5*π*Dg*Hp*qm=</t>
  </si>
  <si>
    <t>4.螺旋锚上拔稳定计算</t>
  </si>
  <si>
    <t>Tma=</t>
  </si>
  <si>
    <t>螺旋锚上拔组合系数k1=</t>
  </si>
  <si>
    <t>Tma</t>
  </si>
  <si>
    <t>γf*Tm=</t>
  </si>
  <si>
    <t>安全度：</t>
  </si>
  <si>
    <t>5.螺旋锚盘下压稳定计算</t>
  </si>
  <si>
    <t>根据DL/T5219查表得</t>
  </si>
  <si>
    <t>Mb=</t>
  </si>
  <si>
    <t>Md=</t>
  </si>
  <si>
    <t>Mc=</t>
  </si>
  <si>
    <t>γrf=</t>
  </si>
  <si>
    <t>γg=</t>
  </si>
  <si>
    <t>轴心荷载作用下，锚盘地面压力Pmp</t>
  </si>
  <si>
    <t>Pmp</t>
  </si>
  <si>
    <t>fa/γf=</t>
  </si>
  <si>
    <t>6.螺旋锚杆计算</t>
  </si>
  <si>
    <t xml:space="preserve">    6.1锚杆强度计算</t>
  </si>
  <si>
    <t>锚杆净截面积A=</t>
  </si>
  <si>
    <t>轴心受压σ=</t>
  </si>
  <si>
    <t>N/A=</t>
  </si>
  <si>
    <t>fa=</t>
  </si>
  <si>
    <t xml:space="preserve">    6.2锚杆扭矩计算</t>
  </si>
  <si>
    <t>抗扭截面系数Wt=</t>
  </si>
  <si>
    <t>（π（D^4-d^4）/32）/（D/2）=</t>
  </si>
  <si>
    <t>M=</t>
  </si>
  <si>
    <t>Wt*Tn=</t>
  </si>
  <si>
    <t>许用剪力TN=</t>
  </si>
  <si>
    <t>施工扭矩MS=</t>
  </si>
  <si>
    <t>ns*Fs*Ls=</t>
  </si>
  <si>
    <t>施工钻进单个加力器数量ns=</t>
  </si>
  <si>
    <t>施工钻进单个加力器最大扭矩Fs=</t>
  </si>
  <si>
    <t>施工钻进加力的力臂长度Ls=</t>
  </si>
  <si>
    <t>M</t>
  </si>
  <si>
    <t>MS</t>
  </si>
  <si>
    <t>7.锚盘壁厚计算</t>
  </si>
  <si>
    <t>锚盘抗剪fv=</t>
  </si>
  <si>
    <t>螺杆许用扭矩M=</t>
  </si>
  <si>
    <t>锚盘计算板厚tmp=</t>
  </si>
  <si>
    <t>M/(fv*2*πr2)=</t>
  </si>
  <si>
    <t>tmp</t>
  </si>
  <si>
    <t>t=</t>
  </si>
  <si>
    <t xml:space="preserve">  设计：                    校核：                  审核：                 日期：    </t>
  </si>
  <si>
    <t>螺旋锚基础计算书（土重法）</t>
  </si>
  <si>
    <t>桩号：</t>
  </si>
  <si>
    <t>螺旋锚基础上拔力标准值T=</t>
  </si>
  <si>
    <t>螺旋锚基础下压力标准值N=</t>
  </si>
  <si>
    <t>螺旋锚基础水平力标准值V=</t>
  </si>
  <si>
    <t>土上拔角</t>
  </si>
  <si>
    <t>2.修正地基承载力计算</t>
  </si>
  <si>
    <t>地基承载力特征值fak=</t>
  </si>
  <si>
    <r>
      <rPr>
        <sz val="10"/>
        <rFont val="宋体"/>
        <family val="3"/>
        <charset val="134"/>
      </rPr>
      <t>宽度修正系数</t>
    </r>
    <r>
      <rPr>
        <sz val="10"/>
        <rFont val="Calibri"/>
        <family val="2"/>
      </rPr>
      <t>η</t>
    </r>
    <r>
      <rPr>
        <sz val="10"/>
        <rFont val="宋体"/>
        <family val="3"/>
        <charset val="134"/>
      </rPr>
      <t>b=</t>
    </r>
  </si>
  <si>
    <r>
      <rPr>
        <sz val="10"/>
        <rFont val="宋体"/>
        <family val="3"/>
        <charset val="134"/>
      </rPr>
      <t>深度修正系数</t>
    </r>
    <r>
      <rPr>
        <sz val="10"/>
        <rFont val="Calibri"/>
        <family val="2"/>
      </rPr>
      <t>η</t>
    </r>
    <r>
      <rPr>
        <sz val="10"/>
        <rFont val="宋体"/>
        <family val="3"/>
        <charset val="134"/>
      </rPr>
      <t>d=</t>
    </r>
  </si>
  <si>
    <r>
      <rPr>
        <sz val="10"/>
        <rFont val="宋体"/>
        <family val="3"/>
        <charset val="134"/>
      </rPr>
      <t>基础底面以下土的有效重度</t>
    </r>
    <r>
      <rPr>
        <sz val="10"/>
        <rFont val="Calibri"/>
        <family val="2"/>
      </rPr>
      <t>γ</t>
    </r>
    <r>
      <rPr>
        <sz val="10"/>
        <rFont val="宋体"/>
        <family val="3"/>
        <charset val="134"/>
      </rPr>
      <t>=</t>
    </r>
  </si>
  <si>
    <t>kN/m2</t>
  </si>
  <si>
    <t>修正后地基承载力fa=</t>
  </si>
  <si>
    <r>
      <rPr>
        <sz val="10"/>
        <rFont val="宋体"/>
        <family val="3"/>
        <charset val="134"/>
      </rPr>
      <t xml:space="preserve"> fak+</t>
    </r>
    <r>
      <rPr>
        <sz val="10"/>
        <rFont val="Calibri"/>
        <family val="2"/>
      </rPr>
      <t>η</t>
    </r>
    <r>
      <rPr>
        <sz val="10"/>
        <rFont val="宋体"/>
        <family val="3"/>
        <charset val="134"/>
      </rPr>
      <t>b</t>
    </r>
    <r>
      <rPr>
        <sz val="10"/>
        <rFont val="Calibri"/>
        <family val="2"/>
      </rPr>
      <t>γ</t>
    </r>
    <r>
      <rPr>
        <sz val="10"/>
        <rFont val="宋体"/>
        <family val="3"/>
        <charset val="134"/>
      </rPr>
      <t>（b-3）+</t>
    </r>
    <r>
      <rPr>
        <sz val="10"/>
        <rFont val="Calibri"/>
        <family val="2"/>
      </rPr>
      <t>η</t>
    </r>
    <r>
      <rPr>
        <sz val="10"/>
        <rFont val="宋体"/>
        <family val="3"/>
        <charset val="134"/>
      </rPr>
      <t>d</t>
    </r>
    <r>
      <rPr>
        <sz val="10"/>
        <rFont val="Calibri"/>
        <family val="2"/>
      </rPr>
      <t>γ</t>
    </r>
    <r>
      <rPr>
        <sz val="10"/>
        <rFont val="宋体"/>
        <family val="3"/>
        <charset val="134"/>
      </rPr>
      <t>m(d-0.5) =</t>
    </r>
  </si>
  <si>
    <t>3.上拔计算</t>
  </si>
  <si>
    <t>土方量V=</t>
  </si>
  <si>
    <t>πh（r²+R²+rR）/3=</t>
  </si>
  <si>
    <t>m3</t>
  </si>
  <si>
    <t>上拔力Tm=</t>
  </si>
  <si>
    <t>V*γs=</t>
  </si>
  <si>
    <t>安全系数</t>
  </si>
  <si>
    <t>Tm/γf=</t>
  </si>
  <si>
    <t>T=</t>
  </si>
  <si>
    <t>4.下压计算</t>
  </si>
  <si>
    <t>叶片数量n=</t>
  </si>
  <si>
    <t>叶片面积A=</t>
  </si>
  <si>
    <t>π*R2=</t>
  </si>
  <si>
    <t>压力P=</t>
  </si>
  <si>
    <t>N/A</t>
  </si>
  <si>
    <t>5.水平位移计算：</t>
  </si>
  <si>
    <t>4、短柱顶位移验算</t>
  </si>
  <si>
    <r>
      <rPr>
        <sz val="9"/>
        <rFont val="宋体"/>
        <family val="3"/>
        <charset val="134"/>
      </rPr>
      <t xml:space="preserve">                 </t>
    </r>
    <r>
      <rPr>
        <sz val="9"/>
        <rFont val="宋体"/>
        <family val="3"/>
        <charset val="134"/>
      </rPr>
      <t>地基土水平抗力比例系数m=</t>
    </r>
  </si>
  <si>
    <t>KN/m4</t>
  </si>
  <si>
    <t>参数ko=</t>
  </si>
  <si>
    <t>短柱顶位移δk=</t>
  </si>
  <si>
    <r>
      <rPr>
        <sz val="9"/>
        <rFont val="宋体"/>
        <family val="3"/>
        <charset val="134"/>
      </rPr>
      <t>m</t>
    </r>
    <r>
      <rPr>
        <sz val="9"/>
        <rFont val="宋体"/>
        <family val="3"/>
        <charset val="134"/>
      </rPr>
      <t>m</t>
    </r>
  </si>
  <si>
    <t>短柱转角θk=</t>
  </si>
  <si>
    <t>轴心受压σ1=</t>
  </si>
  <si>
    <t>1.4*N/A=</t>
  </si>
  <si>
    <t>弯矩M=</t>
  </si>
  <si>
    <t>V*0.4=</t>
  </si>
  <si>
    <t>W=</t>
  </si>
  <si>
    <t>σ2=</t>
  </si>
  <si>
    <t>M/W=</t>
  </si>
  <si>
    <t>MPA</t>
  </si>
  <si>
    <t>σ1+σ2=</t>
  </si>
  <si>
    <t>7.锚杆扭矩计算</t>
  </si>
  <si>
    <t>弹性桩基础计算书</t>
  </si>
  <si>
    <t>弯矩设计值（KN*m）</t>
  </si>
  <si>
    <t>桩深（m）</t>
  </si>
  <si>
    <t>假定配筋率ρ=</t>
  </si>
  <si>
    <t>版权所有者:万龙波</t>
  </si>
  <si>
    <t>剪力设计值(KN）</t>
  </si>
  <si>
    <t>桩直径（m）</t>
  </si>
  <si>
    <t>保护层厚度d=</t>
  </si>
  <si>
    <t>盗版必纠!</t>
  </si>
  <si>
    <t>轴力设计值(KN）</t>
  </si>
  <si>
    <t>主筋数量</t>
  </si>
  <si>
    <t>水位深度</t>
  </si>
  <si>
    <t>砼标号</t>
  </si>
  <si>
    <t>C25</t>
  </si>
  <si>
    <t>主筋直径</t>
  </si>
  <si>
    <r>
      <rPr>
        <sz val="9"/>
        <rFont val="华文楷体"/>
        <family val="3"/>
        <charset val="134"/>
      </rPr>
      <t>露头高h</t>
    </r>
    <r>
      <rPr>
        <vertAlign val="subscript"/>
        <sz val="9"/>
        <rFont val="华文楷体"/>
        <family val="3"/>
        <charset val="134"/>
      </rPr>
      <t>o</t>
    </r>
    <r>
      <rPr>
        <sz val="9"/>
        <rFont val="华文楷体"/>
        <family val="3"/>
        <charset val="134"/>
      </rPr>
      <t>=</t>
    </r>
  </si>
  <si>
    <t>允许位移(mm)</t>
  </si>
  <si>
    <t>主筋强度等级</t>
  </si>
  <si>
    <t>HRB400</t>
  </si>
  <si>
    <t>钢筋间距=</t>
  </si>
  <si>
    <t>杆塔类型</t>
  </si>
  <si>
    <t>非直线杆</t>
  </si>
  <si>
    <t>土质</t>
  </si>
  <si>
    <t>土层深度</t>
  </si>
  <si>
    <t>重度(KN)</t>
  </si>
  <si>
    <t>内摩擦角°</t>
  </si>
  <si>
    <r>
      <rPr>
        <sz val="9"/>
        <rFont val="华文楷体"/>
        <family val="3"/>
        <charset val="134"/>
      </rPr>
      <t>M</t>
    </r>
    <r>
      <rPr>
        <vertAlign val="subscript"/>
        <sz val="9"/>
        <rFont val="华文楷体"/>
        <family val="3"/>
        <charset val="134"/>
      </rPr>
      <t>i</t>
    </r>
    <r>
      <rPr>
        <sz val="9"/>
        <rFont val="华文楷体"/>
        <family val="3"/>
        <charset val="134"/>
      </rPr>
      <t>（KN/m</t>
    </r>
    <r>
      <rPr>
        <vertAlign val="superscript"/>
        <sz val="9"/>
        <rFont val="华文楷体"/>
        <family val="3"/>
        <charset val="134"/>
      </rPr>
      <t>4</t>
    </r>
    <r>
      <rPr>
        <sz val="9"/>
        <rFont val="华文楷体"/>
        <family val="3"/>
        <charset val="134"/>
      </rPr>
      <t>）</t>
    </r>
  </si>
  <si>
    <t>侧阻力标准值（kPa)</t>
  </si>
  <si>
    <t>极限桩端阻力标准值（kPa)</t>
  </si>
  <si>
    <r>
      <rPr>
        <sz val="9"/>
        <rFont val="华文楷体"/>
        <family val="3"/>
        <charset val="134"/>
      </rPr>
      <t>侧阻力效应系数ψ</t>
    </r>
    <r>
      <rPr>
        <vertAlign val="subscript"/>
        <sz val="9"/>
        <rFont val="华文楷体"/>
        <family val="3"/>
        <charset val="134"/>
      </rPr>
      <t>si</t>
    </r>
  </si>
  <si>
    <r>
      <rPr>
        <sz val="9"/>
        <rFont val="华文楷体"/>
        <family val="3"/>
        <charset val="134"/>
      </rPr>
      <t>端阻力尺寸效应系数ψ</t>
    </r>
    <r>
      <rPr>
        <vertAlign val="subscript"/>
        <sz val="9"/>
        <rFont val="华文楷体"/>
        <family val="3"/>
        <charset val="134"/>
      </rPr>
      <t>p</t>
    </r>
  </si>
  <si>
    <t>轴心抗压强度设计值（fc）</t>
  </si>
  <si>
    <t>弯曲抗压</t>
  </si>
  <si>
    <t>轴心抗拉强度设计值(ft)</t>
  </si>
  <si>
    <t>混凝土弹性模量Ec</t>
  </si>
  <si>
    <t>C20</t>
  </si>
  <si>
    <t>m1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</si>
  <si>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2</t>
    </r>
  </si>
  <si>
    <t>C30</t>
  </si>
  <si>
    <t>C35</t>
  </si>
  <si>
    <t>总和
加权</t>
  </si>
  <si>
    <t>/</t>
  </si>
  <si>
    <r>
      <rPr>
        <sz val="9"/>
        <rFont val="宋体"/>
        <family val="3"/>
        <charset val="134"/>
      </rPr>
      <t>C</t>
    </r>
    <r>
      <rPr>
        <sz val="9"/>
        <rFont val="宋体"/>
        <family val="3"/>
        <charset val="134"/>
      </rPr>
      <t>40</t>
    </r>
  </si>
  <si>
    <t>深度</t>
  </si>
  <si>
    <t>1、</t>
  </si>
  <si>
    <t>刚性短柱和弹性桩判断：</t>
  </si>
  <si>
    <t>抗拉强度fy</t>
  </si>
  <si>
    <t>弹性模量（Es）</t>
  </si>
  <si>
    <r>
      <rPr>
        <sz val="11"/>
        <rFont val="华文楷体"/>
        <family val="3"/>
        <charset val="134"/>
      </rPr>
      <t>桩身计算宽度b</t>
    </r>
    <r>
      <rPr>
        <vertAlign val="subscript"/>
        <sz val="11"/>
        <rFont val="华文楷体"/>
        <family val="3"/>
        <charset val="134"/>
      </rPr>
      <t>o</t>
    </r>
    <r>
      <rPr>
        <sz val="11"/>
        <rFont val="华文楷体"/>
        <family val="3"/>
        <charset val="134"/>
      </rPr>
      <t>=</t>
    </r>
  </si>
  <si>
    <r>
      <rPr>
        <sz val="11"/>
        <rFont val="华文楷体"/>
        <family val="3"/>
        <charset val="134"/>
      </rPr>
      <t>影响深度h</t>
    </r>
    <r>
      <rPr>
        <vertAlign val="subscript"/>
        <sz val="11"/>
        <rFont val="华文楷体"/>
        <family val="3"/>
        <charset val="134"/>
      </rPr>
      <t>m</t>
    </r>
    <r>
      <rPr>
        <sz val="11"/>
        <rFont val="华文楷体"/>
        <family val="3"/>
        <charset val="134"/>
      </rPr>
      <t>=</t>
    </r>
  </si>
  <si>
    <t>HRB235</t>
  </si>
  <si>
    <t>桩直径</t>
  </si>
  <si>
    <r>
      <rPr>
        <sz val="11"/>
        <rFont val="华文楷体"/>
        <family val="3"/>
        <charset val="134"/>
      </rPr>
      <t>混凝土弹性模量E</t>
    </r>
    <r>
      <rPr>
        <vertAlign val="subscript"/>
        <sz val="11"/>
        <rFont val="华文楷体"/>
        <family val="3"/>
        <charset val="134"/>
      </rPr>
      <t>c</t>
    </r>
    <r>
      <rPr>
        <sz val="11"/>
        <rFont val="华文楷体"/>
        <family val="3"/>
        <charset val="134"/>
      </rPr>
      <t>=</t>
    </r>
  </si>
  <si>
    <r>
      <rPr>
        <sz val="9"/>
        <rFont val="华文楷体"/>
        <family val="3"/>
        <charset val="134"/>
      </rPr>
      <t>N/mm</t>
    </r>
    <r>
      <rPr>
        <vertAlign val="superscript"/>
        <sz val="9"/>
        <rFont val="华文楷体"/>
        <family val="3"/>
        <charset val="134"/>
      </rPr>
      <t>2</t>
    </r>
  </si>
  <si>
    <t>HRB335</t>
  </si>
  <si>
    <t>桩厚度</t>
  </si>
  <si>
    <t>钢筋的弹性模量Es=</t>
  </si>
  <si>
    <t>钢材弹性模量Es=</t>
  </si>
  <si>
    <r>
      <rPr>
        <sz val="11"/>
        <rFont val="华文楷体"/>
        <family val="3"/>
        <charset val="134"/>
      </rPr>
      <t>α</t>
    </r>
    <r>
      <rPr>
        <vertAlign val="subscript"/>
        <sz val="11"/>
        <rFont val="华文楷体"/>
        <family val="3"/>
        <charset val="134"/>
      </rPr>
      <t>e</t>
    </r>
    <r>
      <rPr>
        <sz val="11"/>
        <rFont val="华文楷体"/>
        <family val="3"/>
        <charset val="134"/>
      </rPr>
      <t>=</t>
    </r>
  </si>
  <si>
    <t>惯性矩Io=</t>
  </si>
  <si>
    <r>
      <rPr>
        <sz val="11"/>
        <rFont val="华文楷体"/>
        <family val="3"/>
        <charset val="134"/>
      </rPr>
      <t>桩身换算截面模量W</t>
    </r>
    <r>
      <rPr>
        <vertAlign val="subscript"/>
        <sz val="11"/>
        <rFont val="华文楷体"/>
        <family val="3"/>
        <charset val="134"/>
      </rPr>
      <t>o</t>
    </r>
    <r>
      <rPr>
        <sz val="11"/>
        <rFont val="华文楷体"/>
        <family val="3"/>
        <charset val="134"/>
      </rPr>
      <t>=</t>
    </r>
  </si>
  <si>
    <r>
      <rPr>
        <sz val="9"/>
        <rFont val="宋体"/>
        <family val="3"/>
        <charset val="134"/>
      </rPr>
      <t>m</t>
    </r>
    <r>
      <rPr>
        <vertAlign val="superscript"/>
        <sz val="9"/>
        <rFont val="宋体"/>
        <family val="3"/>
        <charset val="134"/>
      </rPr>
      <t>3</t>
    </r>
  </si>
  <si>
    <r>
      <rPr>
        <sz val="11"/>
        <rFont val="华文楷体"/>
        <family val="3"/>
        <charset val="134"/>
      </rPr>
      <t>桩身换算截面惯性矩I</t>
    </r>
    <r>
      <rPr>
        <vertAlign val="subscript"/>
        <sz val="11"/>
        <rFont val="华文楷体"/>
        <family val="3"/>
        <charset val="134"/>
      </rPr>
      <t>o</t>
    </r>
    <r>
      <rPr>
        <sz val="11"/>
        <rFont val="华文楷体"/>
        <family val="3"/>
        <charset val="134"/>
      </rPr>
      <t>=</t>
    </r>
  </si>
  <si>
    <r>
      <rPr>
        <sz val="9"/>
        <rFont val="宋体"/>
        <family val="3"/>
        <charset val="134"/>
      </rPr>
      <t>m</t>
    </r>
    <r>
      <rPr>
        <vertAlign val="superscript"/>
        <sz val="9"/>
        <rFont val="宋体"/>
        <family val="3"/>
        <charset val="134"/>
      </rPr>
      <t>4</t>
    </r>
  </si>
  <si>
    <t>EI=</t>
  </si>
  <si>
    <r>
      <rPr>
        <sz val="9"/>
        <rFont val="宋体"/>
        <family val="3"/>
        <charset val="134"/>
      </rPr>
      <t>KN</t>
    </r>
    <r>
      <rPr>
        <sz val="9"/>
        <rFont val="宋体"/>
        <family val="3"/>
        <charset val="134"/>
      </rPr>
      <t>*</t>
    </r>
    <r>
      <rPr>
        <sz val="9"/>
        <rFont val="宋体"/>
        <family val="3"/>
        <charset val="134"/>
      </rPr>
      <t>m</t>
    </r>
    <r>
      <rPr>
        <vertAlign val="superscript"/>
        <sz val="9"/>
        <rFont val="宋体"/>
        <family val="3"/>
        <charset val="134"/>
      </rPr>
      <t>2</t>
    </r>
  </si>
  <si>
    <t>桩侧土水平抗力系数的比例系数m=</t>
  </si>
  <si>
    <t>桩的水平变形系数α=</t>
  </si>
  <si>
    <t>桩的换算埋深αh=</t>
  </si>
  <si>
    <t>2.5/α=</t>
  </si>
  <si>
    <t>桩深</t>
  </si>
  <si>
    <t>结论：</t>
  </si>
  <si>
    <t>桩类型判定：</t>
  </si>
  <si>
    <t>2、</t>
  </si>
  <si>
    <t>承载力计算：</t>
  </si>
  <si>
    <t>土容重γ=</t>
  </si>
  <si>
    <r>
      <rPr>
        <sz val="9"/>
        <rFont val="宋体"/>
        <family val="3"/>
        <charset val="134"/>
      </rPr>
      <t>kN</t>
    </r>
    <r>
      <rPr>
        <sz val="9"/>
        <rFont val="宋体"/>
        <family val="3"/>
        <charset val="134"/>
      </rPr>
      <t>/</t>
    </r>
    <r>
      <rPr>
        <sz val="9"/>
        <rFont val="宋体"/>
        <family val="3"/>
        <charset val="134"/>
      </rPr>
      <t>m3</t>
    </r>
  </si>
  <si>
    <t>加权土质情况</t>
  </si>
  <si>
    <t>黏性土</t>
  </si>
  <si>
    <t>系数ε=</t>
  </si>
  <si>
    <r>
      <rPr>
        <sz val="9"/>
        <rFont val="华文楷体"/>
        <family val="3"/>
        <charset val="134"/>
      </rPr>
      <t>土压力系数m</t>
    </r>
    <r>
      <rPr>
        <vertAlign val="subscript"/>
        <sz val="9"/>
        <rFont val="华文楷体"/>
        <family val="3"/>
        <charset val="134"/>
      </rPr>
      <t>c</t>
    </r>
    <r>
      <rPr>
        <sz val="9"/>
        <rFont val="华文楷体"/>
        <family val="3"/>
        <charset val="134"/>
      </rPr>
      <t>=</t>
    </r>
  </si>
  <si>
    <t>kN/m3</t>
  </si>
  <si>
    <r>
      <rPr>
        <sz val="9"/>
        <rFont val="宋体"/>
        <family val="3"/>
        <charset val="134"/>
      </rPr>
      <t>a</t>
    </r>
    <r>
      <rPr>
        <sz val="9"/>
        <rFont val="宋体"/>
        <family val="3"/>
        <charset val="134"/>
      </rPr>
      <t>h</t>
    </r>
  </si>
  <si>
    <t>Vx</t>
  </si>
  <si>
    <r>
      <rPr>
        <sz val="9"/>
        <rFont val="宋体"/>
        <family val="3"/>
        <charset val="134"/>
      </rPr>
      <t>V</t>
    </r>
    <r>
      <rPr>
        <sz val="9"/>
        <rFont val="宋体"/>
        <family val="3"/>
        <charset val="134"/>
      </rPr>
      <t>m</t>
    </r>
  </si>
  <si>
    <r>
      <rPr>
        <sz val="9"/>
        <rFont val="宋体"/>
        <family val="3"/>
        <charset val="134"/>
      </rPr>
      <t>B</t>
    </r>
    <r>
      <rPr>
        <sz val="9"/>
        <rFont val="宋体"/>
        <family val="3"/>
        <charset val="134"/>
      </rPr>
      <t>f</t>
    </r>
  </si>
  <si>
    <r>
      <rPr>
        <sz val="9"/>
        <rFont val="宋体"/>
        <family val="3"/>
        <charset val="134"/>
      </rPr>
      <t>C</t>
    </r>
    <r>
      <rPr>
        <sz val="9"/>
        <rFont val="宋体"/>
        <family val="3"/>
        <charset val="134"/>
      </rPr>
      <t>f</t>
    </r>
  </si>
  <si>
    <t>土的折算内摩擦角φ=</t>
  </si>
  <si>
    <t>土与桩之间的摩擦系数μ=</t>
  </si>
  <si>
    <t>竖向反力偏心矩e=</t>
  </si>
  <si>
    <r>
      <rPr>
        <sz val="9"/>
        <rFont val="华文楷体"/>
        <family val="3"/>
        <charset val="134"/>
      </rPr>
      <t>桩顶容许水平位移系数V</t>
    </r>
    <r>
      <rPr>
        <vertAlign val="subscript"/>
        <sz val="9"/>
        <rFont val="华文楷体"/>
        <family val="3"/>
        <charset val="134"/>
      </rPr>
      <t>x</t>
    </r>
    <r>
      <rPr>
        <sz val="9"/>
        <rFont val="华文楷体"/>
        <family val="3"/>
        <charset val="134"/>
      </rPr>
      <t>=</t>
    </r>
  </si>
  <si>
    <r>
      <rPr>
        <sz val="9"/>
        <rFont val="华文楷体"/>
        <family val="3"/>
        <charset val="134"/>
      </rPr>
      <t>短柱自重G</t>
    </r>
    <r>
      <rPr>
        <vertAlign val="subscript"/>
        <sz val="9"/>
        <rFont val="华文楷体"/>
        <family val="3"/>
        <charset val="134"/>
      </rPr>
      <t>k</t>
    </r>
    <r>
      <rPr>
        <sz val="9"/>
        <rFont val="华文楷体"/>
        <family val="3"/>
        <charset val="134"/>
      </rPr>
      <t>=</t>
    </r>
  </si>
  <si>
    <t>kN</t>
  </si>
  <si>
    <r>
      <rPr>
        <sz val="9"/>
        <rFont val="华文楷体"/>
        <family val="3"/>
        <charset val="134"/>
      </rPr>
      <t>竖向力及自重设计值 N</t>
    </r>
    <r>
      <rPr>
        <vertAlign val="subscript"/>
        <sz val="9"/>
        <rFont val="华文楷体"/>
        <family val="3"/>
        <charset val="134"/>
      </rPr>
      <t>k</t>
    </r>
    <r>
      <rPr>
        <sz val="9"/>
        <rFont val="华文楷体"/>
        <family val="3"/>
        <charset val="134"/>
      </rPr>
      <t>=</t>
    </r>
  </si>
  <si>
    <r>
      <rPr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 xml:space="preserve">        </t>
    </r>
    <r>
      <rPr>
        <sz val="9"/>
        <rFont val="宋体"/>
        <family val="3"/>
        <charset val="134"/>
      </rPr>
      <t>单桩竖向承载力特征值Ra</t>
    </r>
  </si>
  <si>
    <r>
      <rPr>
        <sz val="9"/>
        <rFont val="华文楷体"/>
        <family val="3"/>
        <charset val="134"/>
      </rPr>
      <t>桩顶所受水平力H</t>
    </r>
    <r>
      <rPr>
        <vertAlign val="subscript"/>
        <sz val="9"/>
        <rFont val="华文楷体"/>
        <family val="3"/>
        <charset val="134"/>
      </rPr>
      <t>k</t>
    </r>
    <r>
      <rPr>
        <sz val="9"/>
        <rFont val="华文楷体"/>
        <family val="3"/>
        <charset val="134"/>
      </rPr>
      <t>=</t>
    </r>
  </si>
  <si>
    <t xml:space="preserve">    水平承载力特征值H</t>
  </si>
  <si>
    <t>内插法</t>
  </si>
  <si>
    <t xml:space="preserve"> 短柱抗倾覆力矩标准值的求解</t>
  </si>
  <si>
    <r>
      <rPr>
        <sz val="9"/>
        <rFont val="宋体"/>
        <family val="3"/>
        <charset val="134"/>
      </rPr>
      <t>A</t>
    </r>
    <r>
      <rPr>
        <sz val="9"/>
        <rFont val="宋体"/>
        <family val="3"/>
        <charset val="134"/>
      </rPr>
      <t>f=</t>
    </r>
  </si>
  <si>
    <r>
      <rPr>
        <u/>
        <sz val="9"/>
        <rFont val="宋体"/>
        <family val="3"/>
        <charset val="134"/>
      </rPr>
      <t>B3D3-B4D3</t>
    </r>
    <r>
      <rPr>
        <sz val="9"/>
        <rFont val="宋体"/>
        <family val="3"/>
        <charset val="134"/>
      </rPr>
      <t xml:space="preserve">
A3B4-A4B3</t>
    </r>
  </si>
  <si>
    <t>β=</t>
  </si>
  <si>
    <r>
      <rPr>
        <sz val="11"/>
        <rFont val="华文楷体"/>
        <family val="3"/>
        <charset val="134"/>
      </rPr>
      <t>计算土侧向抗力短柱宽度D</t>
    </r>
    <r>
      <rPr>
        <vertAlign val="subscript"/>
        <sz val="11"/>
        <rFont val="华文楷体"/>
        <family val="3"/>
        <charset val="134"/>
      </rPr>
      <t>1</t>
    </r>
    <r>
      <rPr>
        <sz val="11"/>
        <rFont val="华文楷体"/>
        <family val="3"/>
        <charset val="134"/>
      </rPr>
      <t>=</t>
    </r>
  </si>
  <si>
    <t>总的土侧向抗力标准值E=</t>
  </si>
  <si>
    <r>
      <rPr>
        <sz val="11"/>
        <rFont val="华文楷体"/>
        <family val="3"/>
        <charset val="134"/>
      </rPr>
      <t>柱底反力合力F</t>
    </r>
    <r>
      <rPr>
        <vertAlign val="subscript"/>
        <sz val="11"/>
        <rFont val="华文楷体"/>
        <family val="3"/>
        <charset val="134"/>
      </rPr>
      <t>y</t>
    </r>
    <r>
      <rPr>
        <sz val="11"/>
        <rFont val="华文楷体"/>
        <family val="3"/>
        <charset val="134"/>
      </rPr>
      <t>=</t>
    </r>
  </si>
  <si>
    <r>
      <rPr>
        <sz val="11"/>
        <rFont val="华文楷体"/>
        <family val="3"/>
        <charset val="134"/>
      </rPr>
      <t>地基反力f</t>
    </r>
    <r>
      <rPr>
        <vertAlign val="subscript"/>
        <sz val="11"/>
        <rFont val="华文楷体"/>
        <family val="3"/>
        <charset val="134"/>
      </rPr>
      <t>ak</t>
    </r>
    <r>
      <rPr>
        <sz val="11"/>
        <rFont val="华文楷体"/>
        <family val="3"/>
        <charset val="134"/>
      </rPr>
      <t>=</t>
    </r>
  </si>
  <si>
    <r>
      <rPr>
        <sz val="11"/>
        <rFont val="华文楷体"/>
        <family val="3"/>
        <charset val="134"/>
      </rPr>
      <t>在地面处截面产生的弯矩M</t>
    </r>
    <r>
      <rPr>
        <vertAlign val="subscript"/>
        <sz val="11"/>
        <rFont val="华文楷体"/>
        <family val="3"/>
        <charset val="134"/>
      </rPr>
      <t>kd</t>
    </r>
    <r>
      <rPr>
        <sz val="11"/>
        <rFont val="华文楷体"/>
        <family val="3"/>
        <charset val="134"/>
      </rPr>
      <t>=</t>
    </r>
  </si>
  <si>
    <r>
      <rPr>
        <sz val="11"/>
        <rFont val="华文楷体"/>
        <family val="3"/>
        <charset val="134"/>
      </rPr>
      <t>短柱的抗倾覆力矩标准值0.5*M</t>
    </r>
    <r>
      <rPr>
        <vertAlign val="subscript"/>
        <sz val="11"/>
        <rFont val="华文楷体"/>
        <family val="3"/>
        <charset val="134"/>
      </rPr>
      <t>u</t>
    </r>
    <r>
      <rPr>
        <sz val="11"/>
        <rFont val="华文楷体"/>
        <family val="3"/>
        <charset val="134"/>
      </rPr>
      <t>=</t>
    </r>
  </si>
  <si>
    <t>3、短柱顶位移验算</t>
  </si>
  <si>
    <r>
      <rPr>
        <sz val="9"/>
        <rFont val="宋体"/>
        <family val="3"/>
        <charset val="134"/>
      </rPr>
      <t>地面处桩身M</t>
    </r>
    <r>
      <rPr>
        <sz val="9"/>
        <rFont val="宋体"/>
        <family val="3"/>
        <charset val="134"/>
      </rPr>
      <t>o=</t>
    </r>
  </si>
  <si>
    <t>(1)、由αh ，查表C.0.3-4得：</t>
  </si>
  <si>
    <r>
      <rPr>
        <sz val="9"/>
        <rFont val="宋体"/>
        <family val="3"/>
        <charset val="134"/>
      </rPr>
      <t>A</t>
    </r>
    <r>
      <rPr>
        <i/>
        <vertAlign val="subscript"/>
        <sz val="12"/>
        <rFont val="Times New Roman"/>
        <family val="1"/>
      </rPr>
      <t>f</t>
    </r>
    <r>
      <rPr>
        <sz val="12"/>
        <rFont val="Times New Roman"/>
        <family val="1"/>
      </rPr>
      <t>=</t>
    </r>
  </si>
  <si>
    <r>
      <rPr>
        <sz val="9"/>
        <rFont val="宋体"/>
        <family val="3"/>
        <charset val="134"/>
      </rPr>
      <t>B</t>
    </r>
    <r>
      <rPr>
        <i/>
        <vertAlign val="subscript"/>
        <sz val="12"/>
        <rFont val="Times New Roman"/>
        <family val="1"/>
      </rPr>
      <t>f</t>
    </r>
    <r>
      <rPr>
        <sz val="12"/>
        <rFont val="Times New Roman"/>
        <family val="1"/>
      </rPr>
      <t>=</t>
    </r>
  </si>
  <si>
    <r>
      <rPr>
        <sz val="9"/>
        <rFont val="宋体"/>
        <family val="3"/>
        <charset val="134"/>
      </rPr>
      <t>C</t>
    </r>
    <r>
      <rPr>
        <i/>
        <vertAlign val="subscript"/>
        <sz val="12"/>
        <rFont val="Times New Roman"/>
        <family val="1"/>
      </rPr>
      <t>f</t>
    </r>
    <r>
      <rPr>
        <sz val="12"/>
        <rFont val="Times New Roman"/>
        <family val="1"/>
      </rPr>
      <t>=</t>
    </r>
  </si>
  <si>
    <r>
      <rPr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 xml:space="preserve">   </t>
    </r>
    <r>
      <rPr>
        <sz val="9"/>
        <rFont val="宋体"/>
        <family val="3"/>
        <charset val="134"/>
      </rPr>
      <t xml:space="preserve"> (2)、H0=1时位移、转角：</t>
    </r>
  </si>
  <si>
    <t>1、水平位移</t>
  </si>
  <si>
    <r>
      <rPr>
        <sz val="12"/>
        <rFont val="宋体"/>
        <family val="3"/>
        <charset val="134"/>
      </rPr>
      <t>δ</t>
    </r>
    <r>
      <rPr>
        <vertAlign val="subscript"/>
        <sz val="12"/>
        <rFont val="Times New Roman"/>
        <family val="1"/>
      </rPr>
      <t>HH</t>
    </r>
    <r>
      <rPr>
        <sz val="12"/>
        <rFont val="Times New Roman"/>
        <family val="1"/>
      </rPr>
      <t>=</t>
    </r>
  </si>
  <si>
    <r>
      <rPr>
        <sz val="12"/>
        <rFont val="Times New Roman"/>
        <family val="1"/>
      </rPr>
      <t>A</t>
    </r>
    <r>
      <rPr>
        <i/>
        <vertAlign val="subscript"/>
        <sz val="12"/>
        <rFont val="Times New Roman"/>
        <family val="1"/>
      </rPr>
      <t>f</t>
    </r>
    <r>
      <rPr>
        <sz val="12"/>
        <rFont val="Times New Roman"/>
        <family val="1"/>
      </rPr>
      <t>/</t>
    </r>
    <r>
      <rPr>
        <sz val="12"/>
        <rFont val="仿宋_GB2312"/>
        <charset val="134"/>
      </rPr>
      <t>α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EI=</t>
    </r>
  </si>
  <si>
    <r>
      <rPr>
        <sz val="9"/>
        <rFont val="宋体"/>
        <family val="3"/>
        <charset val="134"/>
      </rPr>
      <t>K</t>
    </r>
    <r>
      <rPr>
        <sz val="9"/>
        <rFont val="宋体"/>
        <family val="3"/>
        <charset val="134"/>
      </rPr>
      <t>N*M</t>
    </r>
  </si>
  <si>
    <t>2、转角</t>
  </si>
  <si>
    <r>
      <rPr>
        <sz val="9"/>
        <rFont val="宋体"/>
        <family val="3"/>
        <charset val="134"/>
      </rPr>
      <t>δ</t>
    </r>
    <r>
      <rPr>
        <vertAlign val="subscript"/>
        <sz val="12"/>
        <rFont val="Times New Roman"/>
        <family val="1"/>
      </rPr>
      <t>MH</t>
    </r>
    <r>
      <rPr>
        <sz val="12"/>
        <rFont val="Times New Roman"/>
        <family val="1"/>
      </rPr>
      <t>=</t>
    </r>
  </si>
  <si>
    <r>
      <rPr>
        <sz val="9"/>
        <rFont val="宋体"/>
        <family val="3"/>
        <charset val="134"/>
      </rPr>
      <t>B</t>
    </r>
    <r>
      <rPr>
        <i/>
        <vertAlign val="subscript"/>
        <sz val="12"/>
        <rFont val="Times New Roman"/>
        <family val="1"/>
      </rPr>
      <t>f</t>
    </r>
    <r>
      <rPr>
        <sz val="12"/>
        <rFont val="Times New Roman"/>
        <family val="1"/>
      </rPr>
      <t>/</t>
    </r>
    <r>
      <rPr>
        <sz val="12"/>
        <rFont val="仿宋_GB2312"/>
        <charset val="134"/>
      </rPr>
      <t>α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EI=</t>
    </r>
  </si>
  <si>
    <r>
      <rPr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 xml:space="preserve">   </t>
    </r>
    <r>
      <rPr>
        <sz val="9"/>
        <rFont val="宋体"/>
        <family val="3"/>
        <charset val="134"/>
      </rPr>
      <t xml:space="preserve"> (</t>
    </r>
    <r>
      <rPr>
        <sz val="9"/>
        <rFont val="宋体"/>
        <family val="3"/>
        <charset val="134"/>
      </rPr>
      <t>3</t>
    </r>
    <r>
      <rPr>
        <sz val="9"/>
        <rFont val="宋体"/>
        <family val="3"/>
        <charset val="134"/>
      </rPr>
      <t>)、</t>
    </r>
    <r>
      <rPr>
        <sz val="9"/>
        <rFont val="宋体"/>
        <family val="3"/>
        <charset val="134"/>
      </rPr>
      <t>M0</t>
    </r>
    <r>
      <rPr>
        <sz val="9"/>
        <rFont val="宋体"/>
        <family val="3"/>
        <charset val="134"/>
      </rPr>
      <t>=1时位移、转角：</t>
    </r>
  </si>
  <si>
    <t>1、位移</t>
  </si>
  <si>
    <t>δHM=δMH=</t>
  </si>
  <si>
    <t>δMM=Cf/αEI=</t>
  </si>
  <si>
    <t>(4)、桩顶处侧移及转角</t>
  </si>
  <si>
    <t xml:space="preserve">1、位移     </t>
  </si>
  <si>
    <t>最小配筋率</t>
  </si>
  <si>
    <t>X0=VδHH+MδHM=</t>
  </si>
  <si>
    <t>Φ0=VδMH+MδMM=</t>
  </si>
  <si>
    <t>弯矩标准值</t>
  </si>
  <si>
    <t>剪力标准值</t>
  </si>
  <si>
    <t>直线杆</t>
  </si>
  <si>
    <t>转角杆</t>
  </si>
  <si>
    <t>6.弯矩最大截面内力</t>
  </si>
  <si>
    <t>最大弯矩离地距离y满足方程左边=</t>
  </si>
  <si>
    <t>方程右边=</t>
  </si>
  <si>
    <t xml:space="preserve">                     最大弯矩离地面距离y=</t>
  </si>
  <si>
    <t>（单变量求解）</t>
  </si>
  <si>
    <t>弯矩Mmax=</t>
  </si>
  <si>
    <r>
      <rPr>
        <sz val="9"/>
        <rFont val="宋体"/>
        <family val="3"/>
        <charset val="134"/>
      </rPr>
      <t>K</t>
    </r>
    <r>
      <rPr>
        <sz val="9"/>
        <rFont val="宋体"/>
        <family val="3"/>
        <charset val="134"/>
      </rPr>
      <t>N*m</t>
    </r>
  </si>
  <si>
    <t>剪力Vy=</t>
  </si>
  <si>
    <t>6、纵向钢筋配筋计算</t>
  </si>
  <si>
    <r>
      <rPr>
        <sz val="9"/>
        <rFont val="宋体"/>
        <family val="3"/>
        <charset val="134"/>
      </rPr>
      <t>钢筋抗拉f</t>
    </r>
    <r>
      <rPr>
        <sz val="9"/>
        <rFont val="宋体"/>
        <family val="3"/>
        <charset val="134"/>
      </rPr>
      <t>y=</t>
    </r>
  </si>
  <si>
    <r>
      <rPr>
        <sz val="9"/>
        <rFont val="宋体"/>
        <family val="3"/>
        <charset val="134"/>
      </rPr>
      <t>N</t>
    </r>
    <r>
      <rPr>
        <sz val="9"/>
        <rFont val="宋体"/>
        <family val="3"/>
        <charset val="134"/>
      </rPr>
      <t>/mm2</t>
    </r>
  </si>
  <si>
    <t>弯曲抗压fcm=</t>
  </si>
  <si>
    <t>主筋截面As=</t>
  </si>
  <si>
    <r>
      <rPr>
        <sz val="9"/>
        <rFont val="宋体"/>
        <family val="3"/>
        <charset val="134"/>
      </rPr>
      <t>m</t>
    </r>
    <r>
      <rPr>
        <sz val="9"/>
        <rFont val="宋体"/>
        <family val="3"/>
        <charset val="134"/>
      </rPr>
      <t>m2</t>
    </r>
  </si>
  <si>
    <r>
      <rPr>
        <sz val="9"/>
        <rFont val="宋体"/>
        <family val="3"/>
        <charset val="134"/>
      </rPr>
      <t>桩截面A</t>
    </r>
    <r>
      <rPr>
        <sz val="9"/>
        <rFont val="宋体"/>
        <family val="3"/>
        <charset val="134"/>
      </rPr>
      <t>=</t>
    </r>
  </si>
  <si>
    <r>
      <rPr>
        <sz val="9"/>
        <rFont val="宋体"/>
        <family val="3"/>
        <charset val="134"/>
      </rPr>
      <t>sin</t>
    </r>
    <r>
      <rPr>
        <sz val="9"/>
        <rFont val="宋体"/>
        <family val="3"/>
        <charset val="134"/>
      </rPr>
      <t>(πa)</t>
    </r>
    <r>
      <rPr>
        <sz val="9"/>
        <rFont val="宋体"/>
        <family val="3"/>
        <charset val="134"/>
      </rPr>
      <t>=</t>
    </r>
  </si>
  <si>
    <t>抵抗弯矩M=</t>
  </si>
  <si>
    <t>钢筋中心直径</t>
  </si>
  <si>
    <r>
      <rPr>
        <sz val="9"/>
        <rFont val="宋体"/>
        <family val="3"/>
        <charset val="134"/>
      </rPr>
      <t>a</t>
    </r>
    <r>
      <rPr>
        <sz val="9"/>
        <rFont val="宋体"/>
        <family val="3"/>
        <charset val="134"/>
      </rPr>
      <t>t</t>
    </r>
  </si>
  <si>
    <t>实际配筋率</t>
  </si>
  <si>
    <t>sin(πat)</t>
  </si>
  <si>
    <r>
      <rPr>
        <sz val="9"/>
        <rFont val="宋体"/>
        <family val="3"/>
        <charset val="134"/>
      </rPr>
      <t>sin(πa)</t>
    </r>
    <r>
      <rPr>
        <sz val="9"/>
        <rFont val="宋体"/>
        <family val="3"/>
        <charset val="134"/>
      </rPr>
      <t>+sin(πat)</t>
    </r>
  </si>
  <si>
    <t>设计：</t>
  </si>
  <si>
    <t>校核：</t>
  </si>
  <si>
    <t>审核：</t>
  </si>
  <si>
    <t>日期：</t>
  </si>
  <si>
    <t>基础露头</t>
  </si>
  <si>
    <t>基础规格</t>
  </si>
  <si>
    <t>W8*10</t>
  </si>
  <si>
    <t>W6*8.5</t>
  </si>
  <si>
    <t>增加</t>
  </si>
  <si>
    <t>Calculation of anchor depth of H-beam foundation</t>
  </si>
  <si>
    <t xml:space="preserve">concrete mark </t>
  </si>
  <si>
    <t>Design value of concrete compressive strength</t>
  </si>
  <si>
    <t>Bending moment at the bottom of columnM(kN*m)=</t>
  </si>
  <si>
    <t>C15</t>
  </si>
  <si>
    <t>Column bottom shearV(KN)=</t>
  </si>
  <si>
    <t>Design value of concrete compressive strengthfc=</t>
  </si>
  <si>
    <t>Embedding depth of column foot--d（mm）=</t>
  </si>
  <si>
    <t>fc‘(N/mm2)=</t>
  </si>
  <si>
    <t>H beam flange width--bf（mm）=</t>
  </si>
  <si>
    <t>C40</t>
  </si>
  <si>
    <t>H型钢锚入基础深度计算</t>
  </si>
  <si>
    <t>C45</t>
  </si>
  <si>
    <t>C50</t>
  </si>
  <si>
    <t>Embedding depth of column footH（mm）=</t>
  </si>
  <si>
    <t>H beam flange widthbf（mm）=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</si>
</sst>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_ "/>
    <numFmt numFmtId="179" formatCode="0.000_ "/>
    <numFmt numFmtId="180" formatCode="0_);[Red]\(0\)"/>
  </numFmts>
  <fonts count="81">
    <font>
      <sz val="11"/>
      <color theme="1"/>
      <name val="等线"/>
      <charset val="134"/>
      <scheme val="minor"/>
    </font>
    <font>
      <sz val="9"/>
      <name val="宋体"/>
      <family val="3"/>
      <charset val="134"/>
    </font>
    <font>
      <b/>
      <sz val="18"/>
      <name val="宋体"/>
      <family val="3"/>
      <charset val="134"/>
    </font>
    <font>
      <sz val="9"/>
      <name val="华文楷体"/>
      <family val="3"/>
      <charset val="134"/>
    </font>
    <font>
      <b/>
      <sz val="9"/>
      <color indexed="30"/>
      <name val="华文楷体"/>
      <family val="3"/>
      <charset val="134"/>
    </font>
    <font>
      <b/>
      <sz val="9"/>
      <name val="宋体"/>
      <family val="3"/>
      <charset val="134"/>
    </font>
    <font>
      <b/>
      <sz val="9"/>
      <name val="华文楷体"/>
      <family val="3"/>
      <charset val="134"/>
    </font>
    <font>
      <sz val="10"/>
      <name val="华文楷体"/>
      <family val="3"/>
      <charset val="134"/>
    </font>
    <font>
      <sz val="11"/>
      <name val="华文楷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u/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name val="宋体"/>
      <family val="3"/>
      <charset val="134"/>
    </font>
    <font>
      <sz val="12"/>
      <name val="仿宋"/>
      <family val="3"/>
      <charset val="134"/>
    </font>
    <font>
      <b/>
      <sz val="14"/>
      <name val="仿宋"/>
      <family val="3"/>
      <charset val="134"/>
    </font>
    <font>
      <b/>
      <sz val="12"/>
      <name val="仿宋"/>
      <family val="3"/>
      <charset val="134"/>
    </font>
    <font>
      <sz val="10"/>
      <name val="仿宋"/>
      <family val="3"/>
      <charset val="134"/>
    </font>
    <font>
      <sz val="10"/>
      <color theme="1"/>
      <name val="宋体"/>
      <family val="3"/>
      <charset val="134"/>
    </font>
    <font>
      <b/>
      <sz val="16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vertAlign val="superscript"/>
      <sz val="10"/>
      <color theme="1"/>
      <name val="等线"/>
      <family val="3"/>
      <charset val="134"/>
      <scheme val="minor"/>
    </font>
    <font>
      <sz val="10"/>
      <color theme="1"/>
      <name val="Calibri"/>
      <family val="2"/>
    </font>
    <font>
      <b/>
      <i/>
      <sz val="12"/>
      <name val="宋体"/>
      <family val="3"/>
      <charset val="134"/>
    </font>
    <font>
      <b/>
      <i/>
      <sz val="11"/>
      <name val="宋体"/>
      <family val="3"/>
      <charset val="134"/>
    </font>
    <font>
      <i/>
      <sz val="10"/>
      <name val="宋体"/>
      <family val="3"/>
      <charset val="134"/>
    </font>
    <font>
      <b/>
      <sz val="10"/>
      <name val="宋体"/>
      <family val="3"/>
      <charset val="134"/>
    </font>
    <font>
      <b/>
      <i/>
      <sz val="12"/>
      <color theme="1"/>
      <name val="等线"/>
      <family val="3"/>
      <charset val="134"/>
      <scheme val="minor"/>
    </font>
    <font>
      <b/>
      <i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b/>
      <sz val="14"/>
      <name val="宋体"/>
      <family val="3"/>
      <charset val="134"/>
    </font>
    <font>
      <sz val="10"/>
      <name val="Calibri"/>
      <family val="2"/>
    </font>
    <font>
      <b/>
      <sz val="12"/>
      <name val="宋体"/>
      <family val="3"/>
      <charset val="134"/>
    </font>
    <font>
      <b/>
      <sz val="12"/>
      <name val="楷体_GB2312"/>
      <charset val="134"/>
    </font>
    <font>
      <b/>
      <sz val="36"/>
      <name val="隶书"/>
      <family val="3"/>
      <charset val="134"/>
    </font>
    <font>
      <b/>
      <sz val="16"/>
      <name val="隶书"/>
      <family val="3"/>
      <charset val="134"/>
    </font>
    <font>
      <b/>
      <u/>
      <sz val="18"/>
      <name val="宋体"/>
      <family val="3"/>
      <charset val="134"/>
    </font>
    <font>
      <sz val="20"/>
      <name val="隶书"/>
      <family val="3"/>
      <charset val="134"/>
    </font>
    <font>
      <sz val="20"/>
      <name val="宋体"/>
      <family val="3"/>
      <charset val="134"/>
    </font>
    <font>
      <sz val="14"/>
      <name val="Times New Roman"/>
      <family val="1"/>
    </font>
    <font>
      <sz val="14"/>
      <name val="隶书"/>
      <family val="3"/>
      <charset val="134"/>
    </font>
    <font>
      <sz val="12"/>
      <name val="隶书"/>
      <family val="3"/>
      <charset val="134"/>
    </font>
    <font>
      <sz val="16"/>
      <name val="宋体"/>
      <family val="3"/>
      <charset val="134"/>
    </font>
    <font>
      <b/>
      <sz val="12"/>
      <name val="Times New Roman"/>
      <family val="1"/>
    </font>
    <font>
      <b/>
      <sz val="20"/>
      <name val="宋体"/>
      <family val="3"/>
      <charset val="134"/>
    </font>
    <font>
      <b/>
      <sz val="16"/>
      <name val="Times New Roman"/>
      <family val="1"/>
    </font>
    <font>
      <sz val="16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4"/>
      <name val="宋体"/>
      <family val="3"/>
      <charset val="134"/>
    </font>
    <font>
      <b/>
      <sz val="16"/>
      <name val="宋体"/>
      <family val="3"/>
      <charset val="134"/>
    </font>
    <font>
      <sz val="16"/>
      <name val="Times New Roman"/>
      <family val="1"/>
    </font>
    <font>
      <vertAlign val="subscript"/>
      <sz val="10"/>
      <name val="仿宋"/>
      <family val="3"/>
      <charset val="134"/>
    </font>
    <font>
      <vertAlign val="subscript"/>
      <sz val="12"/>
      <name val="Times New Roman"/>
      <family val="1"/>
    </font>
    <font>
      <i/>
      <vertAlign val="subscript"/>
      <sz val="12"/>
      <name val="Times New Roman"/>
      <family val="1"/>
    </font>
    <font>
      <vertAlign val="subscript"/>
      <sz val="9"/>
      <name val="华文楷体"/>
      <family val="3"/>
      <charset val="134"/>
    </font>
    <font>
      <vertAlign val="superscript"/>
      <sz val="9"/>
      <name val="华文楷体"/>
      <family val="3"/>
      <charset val="134"/>
    </font>
    <font>
      <vertAlign val="subscript"/>
      <sz val="11"/>
      <name val="华文楷体"/>
      <family val="3"/>
      <charset val="134"/>
    </font>
    <font>
      <vertAlign val="superscript"/>
      <sz val="9"/>
      <name val="宋体"/>
      <family val="3"/>
      <charset val="134"/>
    </font>
    <font>
      <sz val="12"/>
      <name val="仿宋_GB2312"/>
      <charset val="134"/>
    </font>
    <font>
      <vertAlign val="superscript"/>
      <sz val="12"/>
      <name val="Times New Roman"/>
      <family val="1"/>
    </font>
    <font>
      <vertAlign val="subscript"/>
      <sz val="10"/>
      <name val="宋体"/>
      <family val="3"/>
      <charset val="134"/>
    </font>
    <font>
      <sz val="10"/>
      <color theme="1"/>
      <name val="等线"/>
      <family val="3"/>
      <charset val="134"/>
    </font>
    <font>
      <vertAlign val="subscript"/>
      <sz val="10"/>
      <color theme="1"/>
      <name val="等线"/>
      <family val="3"/>
      <charset val="134"/>
      <scheme val="minor"/>
    </font>
    <font>
      <vertAlign val="superscript"/>
      <sz val="10"/>
      <name val="仿宋"/>
      <family val="3"/>
      <charset val="134"/>
    </font>
    <font>
      <sz val="12"/>
      <name val="Calibri"/>
      <family val="2"/>
    </font>
    <font>
      <b/>
      <sz val="10"/>
      <name val="仿宋"/>
      <family val="3"/>
      <charset val="134"/>
    </font>
    <font>
      <vertAlign val="superscript"/>
      <sz val="10"/>
      <name val="宋体"/>
      <family val="3"/>
      <charset val="134"/>
    </font>
    <font>
      <sz val="10.5"/>
      <color theme="1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BEE9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BC99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medium">
        <color auto="1"/>
      </left>
      <right/>
      <top/>
      <bottom/>
      <diagonal style="medium">
        <color auto="1"/>
      </diagonal>
    </border>
  </borders>
  <cellStyleXfs count="2">
    <xf numFmtId="0" fontId="0" fillId="0" borderId="0">
      <alignment vertical="center"/>
    </xf>
    <xf numFmtId="0" fontId="79" fillId="0" borderId="0"/>
  </cellStyleXfs>
  <cellXfs count="4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/>
    </xf>
    <xf numFmtId="0" fontId="0" fillId="2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5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12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 wrapText="1"/>
    </xf>
    <xf numFmtId="0" fontId="4" fillId="4" borderId="5" xfId="0" applyFont="1" applyFill="1" applyBorder="1" applyAlignment="1" applyProtection="1">
      <alignment horizontal="center" vertical="center"/>
      <protection hidden="1"/>
    </xf>
    <xf numFmtId="178" fontId="3" fillId="4" borderId="5" xfId="0" applyNumberFormat="1" applyFont="1" applyFill="1" applyBorder="1" applyAlignment="1" applyProtection="1">
      <alignment horizontal="center" vertical="center"/>
      <protection hidden="1"/>
    </xf>
    <xf numFmtId="179" fontId="3" fillId="4" borderId="5" xfId="0" applyNumberFormat="1" applyFont="1" applyFill="1" applyBorder="1" applyAlignment="1" applyProtection="1">
      <alignment horizontal="center" vertical="center"/>
      <protection hidden="1"/>
    </xf>
    <xf numFmtId="179" fontId="3" fillId="4" borderId="0" xfId="0" applyNumberFormat="1" applyFont="1" applyFill="1" applyAlignment="1" applyProtection="1">
      <alignment horizontal="center" vertical="center"/>
      <protection hidden="1"/>
    </xf>
    <xf numFmtId="0" fontId="5" fillId="4" borderId="5" xfId="0" applyFont="1" applyFill="1" applyBorder="1" applyAlignment="1" applyProtection="1">
      <alignment horizontal="center" vertical="center"/>
      <protection hidden="1"/>
    </xf>
    <xf numFmtId="0" fontId="6" fillId="4" borderId="5" xfId="0" applyFont="1" applyFill="1" applyBorder="1" applyAlignment="1" applyProtection="1">
      <alignment horizontal="center" vertical="center"/>
      <protection hidden="1"/>
    </xf>
    <xf numFmtId="180" fontId="8" fillId="0" borderId="12" xfId="0" applyNumberFormat="1" applyFont="1" applyBorder="1" applyAlignment="1">
      <alignment horizontal="right" vertical="center"/>
    </xf>
    <xf numFmtId="0" fontId="8" fillId="0" borderId="0" xfId="0" applyFont="1">
      <alignment vertical="center"/>
    </xf>
    <xf numFmtId="0" fontId="1" fillId="4" borderId="0" xfId="0" applyFont="1" applyFill="1" applyAlignment="1" applyProtection="1">
      <alignment horizontal="center" vertical="center"/>
      <protection hidden="1"/>
    </xf>
    <xf numFmtId="0" fontId="8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9" fillId="0" borderId="0" xfId="0" applyFont="1" applyAlignment="1" applyProtection="1">
      <alignment horizontal="right"/>
      <protection hidden="1"/>
    </xf>
    <xf numFmtId="0" fontId="10" fillId="0" borderId="0" xfId="0" applyFont="1" applyAlignment="1" applyProtection="1">
      <alignment horizontal="right"/>
      <protection hidden="1"/>
    </xf>
    <xf numFmtId="0" fontId="10" fillId="0" borderId="0" xfId="0" applyFont="1" applyAlignment="1" applyProtection="1">
      <protection hidden="1"/>
    </xf>
    <xf numFmtId="0" fontId="0" fillId="0" borderId="12" xfId="0" applyBorder="1" applyProtection="1">
      <alignment vertic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5" fillId="0" borderId="17" xfId="0" applyFont="1" applyBorder="1" applyAlignment="1" applyProtection="1">
      <alignment horizontal="center" vertical="center"/>
      <protection hidden="1"/>
    </xf>
    <xf numFmtId="0" fontId="0" fillId="3" borderId="0" xfId="0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0" xfId="0" applyProtection="1">
      <alignment vertical="center"/>
      <protection hidden="1"/>
    </xf>
    <xf numFmtId="0" fontId="9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Protection="1">
      <alignment vertical="center"/>
      <protection hidden="1"/>
    </xf>
    <xf numFmtId="0" fontId="1" fillId="6" borderId="0" xfId="0" applyFont="1" applyFill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8" fontId="1" fillId="4" borderId="0" xfId="0" applyNumberFormat="1" applyFont="1" applyFill="1" applyAlignment="1" applyProtection="1">
      <alignment horizontal="center" vertical="center"/>
      <protection hidden="1"/>
    </xf>
    <xf numFmtId="0" fontId="1" fillId="0" borderId="15" xfId="0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178" fontId="8" fillId="5" borderId="0" xfId="0" applyNumberFormat="1" applyFont="1" applyFill="1">
      <alignment vertical="center"/>
    </xf>
    <xf numFmtId="0" fontId="8" fillId="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10" fontId="1" fillId="4" borderId="0" xfId="0" applyNumberFormat="1" applyFont="1" applyFill="1" applyAlignment="1" applyProtection="1">
      <alignment horizontal="center" vertical="center"/>
      <protection hidden="1"/>
    </xf>
    <xf numFmtId="0" fontId="1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10" fontId="3" fillId="4" borderId="11" xfId="0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>
      <alignment horizontal="righ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hidden="1"/>
    </xf>
    <xf numFmtId="180" fontId="8" fillId="0" borderId="10" xfId="0" applyNumberFormat="1" applyFont="1" applyBorder="1" applyAlignment="1">
      <alignment horizontal="right" vertical="center"/>
    </xf>
    <xf numFmtId="0" fontId="8" fillId="0" borderId="11" xfId="0" applyFont="1" applyBorder="1">
      <alignment vertical="center"/>
    </xf>
    <xf numFmtId="179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wrapText="1"/>
    </xf>
    <xf numFmtId="0" fontId="5" fillId="0" borderId="18" xfId="0" applyFont="1" applyBorder="1" applyAlignment="1" applyProtection="1">
      <alignment horizontal="center" vertical="center"/>
      <protection hidden="1"/>
    </xf>
    <xf numFmtId="0" fontId="0" fillId="0" borderId="17" xfId="0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10" fontId="1" fillId="0" borderId="0" xfId="0" applyNumberFormat="1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24" xfId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6" fillId="9" borderId="0" xfId="1" applyFont="1" applyFill="1" applyAlignment="1" applyProtection="1">
      <alignment horizontal="center" vertical="center"/>
      <protection locked="0"/>
    </xf>
    <xf numFmtId="0" fontId="13" fillId="0" borderId="0" xfId="1" applyFont="1" applyAlignment="1">
      <alignment horizontal="left" vertical="center"/>
    </xf>
    <xf numFmtId="0" fontId="13" fillId="9" borderId="0" xfId="1" applyFont="1" applyFill="1" applyAlignment="1" applyProtection="1">
      <alignment horizontal="center" vertical="center"/>
      <protection locked="0"/>
    </xf>
    <xf numFmtId="0" fontId="13" fillId="0" borderId="0" xfId="0" applyFont="1">
      <alignment vertical="center"/>
    </xf>
    <xf numFmtId="0" fontId="13" fillId="10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11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178" fontId="1" fillId="0" borderId="0" xfId="0" applyNumberFormat="1" applyFont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2" borderId="0" xfId="0" applyFont="1" applyFill="1" applyAlignment="1" applyProtection="1">
      <alignment horizontal="center" vertical="center"/>
      <protection locked="0"/>
    </xf>
    <xf numFmtId="9" fontId="13" fillId="10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4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6" fillId="9" borderId="0" xfId="0" applyFont="1" applyFill="1" applyAlignment="1" applyProtection="1">
      <alignment horizontal="center" vertical="center"/>
      <protection locked="0"/>
    </xf>
    <xf numFmtId="0" fontId="13" fillId="9" borderId="0" xfId="0" applyFont="1" applyFill="1" applyAlignment="1" applyProtection="1">
      <alignment horizontal="center" vertical="center"/>
      <protection locked="0"/>
    </xf>
    <xf numFmtId="0" fontId="16" fillId="1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13" fillId="0" borderId="0" xfId="0" applyFont="1" applyAlignment="1"/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21" fillId="2" borderId="0" xfId="0" applyFont="1" applyFill="1" applyAlignment="1" applyProtection="1">
      <alignment horizontal="center" vertical="center"/>
      <protection locked="0"/>
    </xf>
    <xf numFmtId="0" fontId="21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13" borderId="0" xfId="0" applyFont="1" applyFill="1" applyAlignment="1" applyProtection="1">
      <alignment horizontal="center" vertical="center"/>
      <protection locked="0"/>
    </xf>
    <xf numFmtId="0" fontId="21" fillId="0" borderId="0" xfId="0" applyFont="1">
      <alignment vertical="center"/>
    </xf>
    <xf numFmtId="0" fontId="21" fillId="13" borderId="0" xfId="0" applyFont="1" applyFill="1" applyAlignment="1">
      <alignment horizontal="left" vertical="center"/>
    </xf>
    <xf numFmtId="0" fontId="21" fillId="14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>
      <alignment horizontal="left" vertical="center"/>
    </xf>
    <xf numFmtId="0" fontId="21" fillId="15" borderId="0" xfId="0" applyFont="1" applyFill="1" applyAlignment="1">
      <alignment horizontal="right" vertical="center"/>
    </xf>
    <xf numFmtId="0" fontId="21" fillId="15" borderId="0" xfId="0" applyFont="1" applyFill="1" applyAlignment="1">
      <alignment horizontal="center" vertical="center"/>
    </xf>
    <xf numFmtId="0" fontId="21" fillId="14" borderId="0" xfId="0" applyFont="1" applyFill="1" applyAlignment="1" applyProtection="1">
      <alignment horizontal="left" vertical="center"/>
      <protection locked="0"/>
    </xf>
    <xf numFmtId="0" fontId="21" fillId="15" borderId="0" xfId="0" applyFont="1" applyFill="1" applyAlignment="1">
      <alignment horizontal="left" vertical="center"/>
    </xf>
    <xf numFmtId="0" fontId="13" fillId="16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3" fillId="2" borderId="0" xfId="0" applyFont="1" applyFill="1" applyAlignment="1" applyProtection="1">
      <alignment horizontal="center" vertical="center"/>
      <protection locked="0"/>
    </xf>
    <xf numFmtId="0" fontId="17" fillId="10" borderId="0" xfId="0" applyFont="1" applyFill="1" applyAlignment="1">
      <alignment horizontal="center" vertical="center"/>
    </xf>
    <xf numFmtId="0" fontId="22" fillId="2" borderId="0" xfId="0" applyFont="1" applyFill="1" applyAlignment="1" applyProtection="1">
      <alignment horizontal="center" vertical="center"/>
      <protection locked="0"/>
    </xf>
    <xf numFmtId="0" fontId="13" fillId="16" borderId="0" xfId="0" applyFont="1" applyFill="1" applyAlignment="1">
      <alignment horizontal="center" vertical="center" wrapText="1"/>
    </xf>
    <xf numFmtId="0" fontId="17" fillId="16" borderId="0" xfId="0" applyFont="1" applyFill="1" applyAlignment="1">
      <alignment horizontal="center" vertical="center" wrapText="1"/>
    </xf>
    <xf numFmtId="0" fontId="17" fillId="16" borderId="0" xfId="0" applyFont="1" applyFill="1" applyAlignment="1" applyProtection="1">
      <alignment horizontal="center" vertical="center" wrapText="1"/>
      <protection hidden="1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 wrapText="1"/>
    </xf>
    <xf numFmtId="0" fontId="13" fillId="19" borderId="0" xfId="0" applyFont="1" applyFill="1" applyAlignment="1">
      <alignment horizontal="center" vertical="center"/>
    </xf>
    <xf numFmtId="0" fontId="13" fillId="20" borderId="0" xfId="0" applyFont="1" applyFill="1" applyAlignment="1" applyProtection="1">
      <alignment horizontal="center" vertical="center"/>
      <protection locked="0"/>
    </xf>
    <xf numFmtId="0" fontId="13" fillId="22" borderId="0" xfId="0" applyFont="1" applyFill="1" applyAlignment="1">
      <alignment horizontal="center" vertical="center"/>
    </xf>
    <xf numFmtId="0" fontId="13" fillId="21" borderId="0" xfId="0" applyFont="1" applyFill="1" applyAlignment="1" applyProtection="1">
      <alignment horizontal="center" vertical="center"/>
      <protection hidden="1"/>
    </xf>
    <xf numFmtId="0" fontId="13" fillId="24" borderId="0" xfId="0" applyFont="1" applyFill="1" applyAlignment="1">
      <alignment horizontal="center" vertical="center"/>
    </xf>
    <xf numFmtId="0" fontId="13" fillId="25" borderId="0" xfId="0" applyFont="1" applyFill="1" applyAlignment="1">
      <alignment horizontal="center" vertical="center" wrapText="1"/>
    </xf>
    <xf numFmtId="0" fontId="13" fillId="25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 wrapText="1"/>
    </xf>
    <xf numFmtId="0" fontId="13" fillId="14" borderId="0" xfId="0" applyFont="1" applyFill="1" applyAlignment="1" applyProtection="1">
      <alignment horizontal="center" vertical="center"/>
      <protection hidden="1"/>
    </xf>
    <xf numFmtId="178" fontId="13" fillId="26" borderId="0" xfId="0" applyNumberFormat="1" applyFont="1" applyFill="1" applyAlignment="1" applyProtection="1">
      <alignment horizontal="center" vertical="center"/>
      <protection hidden="1"/>
    </xf>
    <xf numFmtId="0" fontId="13" fillId="26" borderId="0" xfId="0" applyFont="1" applyFill="1" applyAlignment="1" applyProtection="1">
      <alignment horizontal="center" vertical="center"/>
      <protection hidden="1"/>
    </xf>
    <xf numFmtId="0" fontId="26" fillId="0" borderId="0" xfId="0" applyFont="1" applyAlignment="1">
      <alignment horizontal="left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3" fillId="26" borderId="0" xfId="0" applyFont="1" applyFill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3" fillId="17" borderId="5" xfId="0" applyFont="1" applyFill="1" applyBorder="1" applyAlignment="1" applyProtection="1">
      <alignment horizontal="center" vertical="center"/>
      <protection locked="0"/>
    </xf>
    <xf numFmtId="0" fontId="13" fillId="17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20" borderId="5" xfId="0" applyFont="1" applyFill="1" applyBorder="1" applyAlignment="1" applyProtection="1">
      <alignment horizontal="center" vertical="center"/>
      <protection locked="0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20" borderId="8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3" fillId="20" borderId="5" xfId="0" applyFont="1" applyFill="1" applyBorder="1" applyAlignment="1" applyProtection="1">
      <alignment horizontal="center" vertical="center" wrapText="1"/>
      <protection locked="0"/>
    </xf>
    <xf numFmtId="10" fontId="13" fillId="11" borderId="5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20" borderId="8" xfId="0" applyFont="1" applyFill="1" applyBorder="1" applyAlignment="1" applyProtection="1">
      <alignment horizontal="center" vertical="center" wrapText="1"/>
      <protection locked="0"/>
    </xf>
    <xf numFmtId="10" fontId="13" fillId="11" borderId="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20" borderId="3" xfId="0" applyFont="1" applyFill="1" applyBorder="1" applyAlignment="1" applyProtection="1">
      <alignment horizontal="center" vertical="center"/>
      <protection locked="0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20" borderId="5" xfId="0" applyFont="1" applyFill="1" applyBorder="1" applyAlignment="1" applyProtection="1">
      <alignment horizontal="center" vertical="center"/>
      <protection locked="0"/>
    </xf>
    <xf numFmtId="0" fontId="17" fillId="24" borderId="6" xfId="0" applyFont="1" applyFill="1" applyBorder="1" applyAlignment="1" applyProtection="1">
      <alignment horizontal="center" vertical="center"/>
      <protection hidden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24" borderId="8" xfId="0" applyFont="1" applyFill="1" applyBorder="1" applyAlignment="1" applyProtection="1">
      <alignment horizontal="center" vertical="center"/>
      <protection hidden="1"/>
    </xf>
    <xf numFmtId="0" fontId="17" fillId="24" borderId="9" xfId="0" applyFont="1" applyFill="1" applyBorder="1" applyAlignment="1" applyProtection="1">
      <alignment horizontal="center" vertical="center"/>
      <protection hidden="1"/>
    </xf>
    <xf numFmtId="0" fontId="17" fillId="0" borderId="5" xfId="0" applyFont="1" applyBorder="1" applyAlignment="1">
      <alignment horizontal="left" vertical="center"/>
    </xf>
    <xf numFmtId="0" fontId="17" fillId="24" borderId="5" xfId="0" applyFont="1" applyFill="1" applyBorder="1" applyAlignment="1" applyProtection="1">
      <alignment horizontal="center" vertical="center"/>
      <protection hidden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0" fontId="29" fillId="17" borderId="22" xfId="0" applyFont="1" applyFill="1" applyBorder="1">
      <alignment vertical="center"/>
    </xf>
    <xf numFmtId="0" fontId="31" fillId="15" borderId="27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32" xfId="0" applyFont="1" applyBorder="1">
      <alignment vertical="center"/>
    </xf>
    <xf numFmtId="0" fontId="17" fillId="0" borderId="33" xfId="0" applyFont="1" applyBorder="1" applyAlignment="1">
      <alignment horizontal="center" vertical="center"/>
    </xf>
    <xf numFmtId="0" fontId="29" fillId="17" borderId="29" xfId="0" applyFont="1" applyFill="1" applyBorder="1">
      <alignment vertical="center"/>
    </xf>
    <xf numFmtId="0" fontId="31" fillId="15" borderId="2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0" borderId="4" xfId="0" applyFont="1" applyBorder="1">
      <alignment vertical="center"/>
    </xf>
    <xf numFmtId="0" fontId="31" fillId="15" borderId="34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27" borderId="9" xfId="0" applyFont="1" applyFill="1" applyBorder="1" applyAlignment="1">
      <alignment horizontal="center" vertical="center"/>
    </xf>
    <xf numFmtId="0" fontId="31" fillId="15" borderId="3" xfId="0" applyFont="1" applyFill="1" applyBorder="1" applyAlignment="1">
      <alignment horizontal="center" vertical="center"/>
    </xf>
    <xf numFmtId="0" fontId="17" fillId="0" borderId="36" xfId="0" applyFont="1" applyBorder="1" applyAlignment="1">
      <alignment horizontal="left" vertical="center"/>
    </xf>
    <xf numFmtId="0" fontId="17" fillId="0" borderId="36" xfId="0" applyFont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15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right" vertical="center"/>
    </xf>
    <xf numFmtId="0" fontId="13" fillId="20" borderId="0" xfId="0" applyFont="1" applyFill="1" applyAlignment="1" applyProtection="1">
      <alignment horizontal="left" vertical="center"/>
      <protection locked="0"/>
    </xf>
    <xf numFmtId="0" fontId="13" fillId="29" borderId="0" xfId="0" applyFont="1" applyFill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right" vertical="center"/>
    </xf>
    <xf numFmtId="0" fontId="13" fillId="0" borderId="16" xfId="0" applyFont="1" applyBorder="1" applyAlignment="1">
      <alignment horizontal="left" vertical="center"/>
    </xf>
    <xf numFmtId="0" fontId="24" fillId="0" borderId="16" xfId="0" applyFont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2" borderId="5" xfId="0" applyFont="1" applyFill="1" applyBorder="1" applyAlignment="1" applyProtection="1">
      <alignment horizontal="center" vertical="center"/>
      <protection locked="0" hidden="1"/>
    </xf>
    <xf numFmtId="0" fontId="34" fillId="0" borderId="0" xfId="0" applyFont="1" applyAlignment="1" applyProtection="1">
      <alignment horizontal="center" vertical="center"/>
      <protection hidden="1"/>
    </xf>
    <xf numFmtId="0" fontId="34" fillId="24" borderId="0" xfId="0" applyFont="1" applyFill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34" fillId="0" borderId="0" xfId="0" applyFont="1" applyAlignment="1" applyProtection="1">
      <alignment horizontal="right" vertical="center"/>
      <protection hidden="1"/>
    </xf>
    <xf numFmtId="0" fontId="34" fillId="2" borderId="0" xfId="0" applyFont="1" applyFill="1" applyAlignment="1" applyProtection="1">
      <alignment horizontal="center" vertical="center"/>
      <protection locked="0"/>
    </xf>
    <xf numFmtId="0" fontId="34" fillId="0" borderId="0" xfId="0" applyFont="1" applyProtection="1">
      <alignment vertical="center"/>
      <protection hidden="1"/>
    </xf>
    <xf numFmtId="0" fontId="34" fillId="2" borderId="0" xfId="0" applyFont="1" applyFill="1" applyAlignment="1" applyProtection="1">
      <alignment horizontal="center" vertical="center"/>
      <protection locked="0" hidden="1"/>
    </xf>
    <xf numFmtId="0" fontId="34" fillId="0" borderId="0" xfId="0" applyFont="1" applyAlignment="1" applyProtection="1">
      <alignment horizontal="left" vertical="center"/>
      <protection hidden="1"/>
    </xf>
    <xf numFmtId="0" fontId="34" fillId="10" borderId="0" xfId="0" applyFont="1" applyFill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34" fillId="2" borderId="5" xfId="0" applyFont="1" applyFill="1" applyBorder="1" applyAlignment="1" applyProtection="1">
      <alignment horizontal="center" vertical="center"/>
      <protection locked="0"/>
    </xf>
    <xf numFmtId="0" fontId="34" fillId="0" borderId="37" xfId="0" applyFont="1" applyBorder="1" applyAlignment="1" applyProtection="1">
      <alignment horizontal="center" vertical="center" wrapText="1"/>
      <protection hidden="1"/>
    </xf>
    <xf numFmtId="0" fontId="34" fillId="0" borderId="36" xfId="0" applyFont="1" applyBorder="1" applyAlignment="1" applyProtection="1">
      <alignment horizontal="center" vertical="center" wrapText="1"/>
      <protection hidden="1"/>
    </xf>
    <xf numFmtId="0" fontId="34" fillId="0" borderId="5" xfId="0" applyFont="1" applyBorder="1" applyAlignment="1" applyProtection="1">
      <alignment horizontal="center" vertical="center"/>
      <protection hidden="1"/>
    </xf>
    <xf numFmtId="0" fontId="34" fillId="0" borderId="5" xfId="0" applyFont="1" applyBorder="1" applyAlignment="1" applyProtection="1">
      <alignment horizontal="center" vertical="center" wrapText="1"/>
      <protection hidden="1"/>
    </xf>
    <xf numFmtId="0" fontId="34" fillId="0" borderId="38" xfId="0" applyFont="1" applyBorder="1" applyAlignment="1" applyProtection="1">
      <alignment horizontal="center" vertical="center" wrapText="1"/>
      <protection hidden="1"/>
    </xf>
    <xf numFmtId="0" fontId="34" fillId="19" borderId="38" xfId="0" applyFont="1" applyFill="1" applyBorder="1" applyAlignment="1" applyProtection="1">
      <alignment horizontal="center" vertical="center" wrapText="1"/>
      <protection hidden="1"/>
    </xf>
    <xf numFmtId="0" fontId="34" fillId="19" borderId="5" xfId="0" applyFont="1" applyFill="1" applyBorder="1" applyAlignment="1" applyProtection="1">
      <alignment horizontal="center" vertical="center"/>
      <protection hidden="1"/>
    </xf>
    <xf numFmtId="0" fontId="34" fillId="0" borderId="5" xfId="0" applyFont="1" applyBorder="1" applyAlignment="1" applyProtection="1">
      <alignment horizontal="center" vertical="center"/>
      <protection locked="0"/>
    </xf>
    <xf numFmtId="0" fontId="34" fillId="13" borderId="0" xfId="0" applyFont="1" applyFill="1" applyAlignment="1" applyProtection="1">
      <alignment horizontal="center" vertical="center"/>
      <protection hidden="1"/>
    </xf>
    <xf numFmtId="0" fontId="34" fillId="0" borderId="40" xfId="0" applyFont="1" applyBorder="1" applyAlignment="1" applyProtection="1">
      <alignment horizontal="left" vertical="center" wrapText="1"/>
      <protection hidden="1"/>
    </xf>
    <xf numFmtId="0" fontId="34" fillId="20" borderId="5" xfId="0" applyFont="1" applyFill="1" applyBorder="1" applyAlignment="1" applyProtection="1">
      <alignment horizontal="center" vertical="center"/>
      <protection locked="0"/>
    </xf>
    <xf numFmtId="0" fontId="36" fillId="0" borderId="40" xfId="0" applyFont="1" applyBorder="1" applyAlignment="1" applyProtection="1">
      <alignment horizontal="left" vertical="center" wrapText="1"/>
      <protection hidden="1"/>
    </xf>
    <xf numFmtId="0" fontId="34" fillId="17" borderId="0" xfId="0" applyFont="1" applyFill="1" applyAlignment="1" applyProtection="1">
      <alignment horizontal="center" vertical="center"/>
      <protection hidden="1"/>
    </xf>
    <xf numFmtId="0" fontId="34" fillId="19" borderId="0" xfId="0" applyFont="1" applyFill="1" applyAlignment="1" applyProtection="1">
      <alignment horizontal="center" vertical="center"/>
      <protection hidden="1"/>
    </xf>
    <xf numFmtId="0" fontId="34" fillId="19" borderId="5" xfId="0" applyFont="1" applyFill="1" applyBorder="1" applyAlignment="1" applyProtection="1">
      <alignment horizontal="center" vertical="center"/>
      <protection locked="0"/>
    </xf>
    <xf numFmtId="10" fontId="34" fillId="0" borderId="0" xfId="0" applyNumberFormat="1" applyFont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left" vertical="center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1" fontId="34" fillId="10" borderId="0" xfId="0" applyNumberFormat="1" applyFont="1" applyFill="1" applyAlignment="1" applyProtection="1">
      <alignment horizontal="center" vertical="center"/>
      <protection hidden="1"/>
    </xf>
    <xf numFmtId="0" fontId="34" fillId="10" borderId="5" xfId="0" applyFont="1" applyFill="1" applyBorder="1" applyAlignment="1" applyProtection="1">
      <alignment horizontal="center" vertical="center"/>
      <protection hidden="1"/>
    </xf>
    <xf numFmtId="0" fontId="34" fillId="30" borderId="38" xfId="0" applyFont="1" applyFill="1" applyBorder="1" applyAlignment="1" applyProtection="1">
      <alignment horizontal="center" vertical="center" wrapText="1"/>
      <protection hidden="1"/>
    </xf>
    <xf numFmtId="0" fontId="34" fillId="30" borderId="5" xfId="0" applyFont="1" applyFill="1" applyBorder="1" applyAlignment="1" applyProtection="1">
      <alignment horizontal="center" vertical="center"/>
      <protection hidden="1"/>
    </xf>
    <xf numFmtId="0" fontId="34" fillId="29" borderId="38" xfId="0" applyFont="1" applyFill="1" applyBorder="1" applyAlignment="1" applyProtection="1">
      <alignment horizontal="center" vertical="center" wrapText="1"/>
      <protection hidden="1"/>
    </xf>
    <xf numFmtId="0" fontId="34" fillId="29" borderId="5" xfId="0" applyFont="1" applyFill="1" applyBorder="1" applyAlignment="1" applyProtection="1">
      <alignment horizontal="center" vertical="center"/>
      <protection hidden="1"/>
    </xf>
    <xf numFmtId="0" fontId="34" fillId="24" borderId="5" xfId="0" applyFont="1" applyFill="1" applyBorder="1" applyAlignment="1" applyProtection="1">
      <alignment horizontal="center" vertical="center" wrapText="1"/>
      <protection hidden="1"/>
    </xf>
    <xf numFmtId="0" fontId="34" fillId="24" borderId="5" xfId="0" applyFont="1" applyFill="1" applyBorder="1" applyAlignment="1" applyProtection="1">
      <alignment horizontal="center" vertical="center"/>
      <protection hidden="1"/>
    </xf>
    <xf numFmtId="0" fontId="34" fillId="31" borderId="5" xfId="0" applyFont="1" applyFill="1" applyBorder="1" applyAlignment="1" applyProtection="1">
      <alignment horizontal="center" vertical="center" wrapText="1"/>
      <protection hidden="1"/>
    </xf>
    <xf numFmtId="0" fontId="34" fillId="31" borderId="5" xfId="0" applyFont="1" applyFill="1" applyBorder="1" applyAlignment="1" applyProtection="1">
      <alignment horizontal="center" vertical="center"/>
      <protection hidden="1"/>
    </xf>
    <xf numFmtId="0" fontId="34" fillId="19" borderId="0" xfId="0" applyFont="1" applyFill="1" applyAlignment="1" applyProtection="1">
      <alignment horizontal="center" vertical="center" wrapText="1"/>
      <protection hidden="1"/>
    </xf>
    <xf numFmtId="0" fontId="34" fillId="25" borderId="5" xfId="0" applyFont="1" applyFill="1" applyBorder="1" applyAlignment="1" applyProtection="1">
      <alignment horizontal="center" vertical="center" wrapText="1"/>
      <protection hidden="1"/>
    </xf>
    <xf numFmtId="0" fontId="34" fillId="25" borderId="5" xfId="0" applyFont="1" applyFill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36" xfId="0" applyFont="1" applyBorder="1" applyAlignment="1" applyProtection="1">
      <alignment horizontal="center" vertical="center"/>
      <protection hidden="1"/>
    </xf>
    <xf numFmtId="10" fontId="34" fillId="0" borderId="5" xfId="0" applyNumberFormat="1" applyFont="1" applyBorder="1" applyAlignment="1" applyProtection="1">
      <alignment horizontal="center" vertical="center"/>
      <protection hidden="1"/>
    </xf>
    <xf numFmtId="0" fontId="34" fillId="0" borderId="40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34" fillId="0" borderId="40" xfId="0" applyFont="1" applyBorder="1" applyAlignment="1" applyProtection="1">
      <alignment horizontal="left" vertical="center"/>
      <protection hidden="1"/>
    </xf>
    <xf numFmtId="0" fontId="34" fillId="32" borderId="0" xfId="0" applyFont="1" applyFill="1" applyAlignment="1" applyProtection="1">
      <alignment horizontal="center" vertical="center"/>
      <protection hidden="1"/>
    </xf>
    <xf numFmtId="0" fontId="34" fillId="17" borderId="5" xfId="0" applyFont="1" applyFill="1" applyBorder="1" applyAlignment="1">
      <alignment horizontal="center" vertical="center"/>
    </xf>
    <xf numFmtId="0" fontId="34" fillId="0" borderId="10" xfId="0" applyFont="1" applyBorder="1" applyProtection="1">
      <alignment vertical="center"/>
      <protection hidden="1"/>
    </xf>
    <xf numFmtId="0" fontId="34" fillId="0" borderId="11" xfId="0" applyFont="1" applyBorder="1" applyProtection="1">
      <alignment vertical="center"/>
      <protection hidden="1"/>
    </xf>
    <xf numFmtId="0" fontId="34" fillId="0" borderId="41" xfId="0" applyFont="1" applyBorder="1" applyAlignment="1" applyProtection="1">
      <alignment horizontal="left" vertical="center" wrapText="1"/>
      <protection hidden="1"/>
    </xf>
    <xf numFmtId="0" fontId="34" fillId="0" borderId="12" xfId="0" applyFont="1" applyBorder="1" applyAlignment="1" applyProtection="1">
      <alignment horizontal="center" vertical="center"/>
      <protection hidden="1"/>
    </xf>
    <xf numFmtId="0" fontId="34" fillId="0" borderId="15" xfId="0" applyFont="1" applyBorder="1" applyAlignment="1" applyProtection="1">
      <alignment horizontal="center" vertical="center"/>
      <protection hidden="1"/>
    </xf>
    <xf numFmtId="0" fontId="34" fillId="0" borderId="16" xfId="0" applyFont="1" applyBorder="1" applyAlignment="1" applyProtection="1">
      <alignment horizontal="center" vertical="center"/>
      <protection hidden="1"/>
    </xf>
    <xf numFmtId="0" fontId="34" fillId="24" borderId="12" xfId="0" applyFont="1" applyFill="1" applyBorder="1" applyAlignment="1" applyProtection="1">
      <alignment horizontal="center" vertical="center"/>
      <protection hidden="1"/>
    </xf>
    <xf numFmtId="0" fontId="34" fillId="0" borderId="17" xfId="0" applyFont="1" applyBorder="1" applyProtection="1">
      <alignment vertical="center"/>
      <protection hidden="1"/>
    </xf>
    <xf numFmtId="0" fontId="34" fillId="0" borderId="18" xfId="0" applyFont="1" applyBorder="1" applyAlignment="1" applyProtection="1">
      <alignment horizontal="center" vertical="center"/>
      <protection hidden="1"/>
    </xf>
    <xf numFmtId="0" fontId="34" fillId="0" borderId="20" xfId="0" applyFont="1" applyBorder="1" applyAlignment="1" applyProtection="1">
      <alignment horizontal="center" vertical="center"/>
      <protection hidden="1"/>
    </xf>
    <xf numFmtId="0" fontId="17" fillId="9" borderId="0" xfId="0" applyFont="1" applyFill="1" applyAlignment="1" applyProtection="1">
      <alignment horizontal="center" vertical="center"/>
      <protection locked="0"/>
    </xf>
    <xf numFmtId="0" fontId="17" fillId="9" borderId="0" xfId="0" applyFont="1" applyFill="1" applyAlignment="1" applyProtection="1">
      <alignment horizontal="left" vertical="center" wrapText="1"/>
      <protection locked="0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17" fillId="0" borderId="0" xfId="0" applyFont="1" applyAlignment="1" applyProtection="1">
      <protection locked="0"/>
    </xf>
    <xf numFmtId="0" fontId="40" fillId="0" borderId="0" xfId="0" applyFont="1" applyAlignment="1">
      <alignment horizontal="right" vertical="center"/>
    </xf>
    <xf numFmtId="0" fontId="38" fillId="0" borderId="0" xfId="0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40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 applyProtection="1">
      <alignment horizontal="center" vertical="center"/>
      <protection locked="0"/>
    </xf>
    <xf numFmtId="49" fontId="47" fillId="0" borderId="0" xfId="0" applyNumberFormat="1" applyFont="1" applyAlignment="1" applyProtection="1">
      <protection locked="0"/>
    </xf>
    <xf numFmtId="0" fontId="48" fillId="0" borderId="0" xfId="0" applyFont="1" applyAlignment="1">
      <alignment horizontal="right"/>
    </xf>
    <xf numFmtId="49" fontId="49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50" fillId="0" borderId="0" xfId="0" applyFont="1" applyAlignment="1" applyProtection="1">
      <alignment horizontal="right"/>
      <protection locked="0"/>
    </xf>
    <xf numFmtId="0" fontId="17" fillId="0" borderId="0" xfId="0" applyFont="1" applyAlignment="1"/>
    <xf numFmtId="0" fontId="38" fillId="0" borderId="0" xfId="0" applyFont="1" applyAlignment="1">
      <alignment horizontal="center" vertical="center"/>
    </xf>
    <xf numFmtId="0" fontId="38" fillId="0" borderId="0" xfId="0" applyFont="1" applyAlignment="1" applyProtection="1">
      <alignment horizontal="center" vertical="center"/>
      <protection locked="0"/>
    </xf>
    <xf numFmtId="0" fontId="51" fillId="0" borderId="0" xfId="0" applyFont="1" applyProtection="1">
      <alignment vertical="center"/>
      <protection locked="0"/>
    </xf>
    <xf numFmtId="0" fontId="52" fillId="0" borderId="0" xfId="0" applyFont="1" applyProtection="1">
      <alignment vertical="center"/>
      <protection locked="0"/>
    </xf>
    <xf numFmtId="0" fontId="53" fillId="0" borderId="0" xfId="0" applyFont="1">
      <alignment vertical="center"/>
    </xf>
    <xf numFmtId="0" fontId="55" fillId="0" borderId="0" xfId="0" applyFont="1">
      <alignment vertical="center"/>
    </xf>
    <xf numFmtId="1" fontId="53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right"/>
    </xf>
    <xf numFmtId="49" fontId="0" fillId="0" borderId="0" xfId="0" applyNumberFormat="1" applyAlignment="1"/>
    <xf numFmtId="49" fontId="10" fillId="0" borderId="0" xfId="0" applyNumberFormat="1" applyFont="1" applyAlignment="1"/>
    <xf numFmtId="0" fontId="58" fillId="0" borderId="0" xfId="0" applyFont="1">
      <alignment vertical="center"/>
    </xf>
    <xf numFmtId="0" fontId="53" fillId="0" borderId="0" xfId="0" applyFont="1" applyAlignment="1"/>
    <xf numFmtId="0" fontId="59" fillId="0" borderId="0" xfId="0" applyFont="1" applyAlignment="1"/>
    <xf numFmtId="0" fontId="58" fillId="0" borderId="0" xfId="0" applyFont="1" applyAlignment="1" applyProtection="1">
      <alignment horizontal="center" vertical="center"/>
      <protection locked="0"/>
    </xf>
    <xf numFmtId="0" fontId="17" fillId="0" borderId="0" xfId="0" quotePrefix="1" applyFont="1" applyAlignment="1">
      <alignment horizontal="center" vertical="center"/>
    </xf>
    <xf numFmtId="0" fontId="13" fillId="0" borderId="5" xfId="0" quotePrefix="1" applyFont="1" applyBorder="1" applyAlignment="1">
      <alignment horizontal="center" vertical="center"/>
    </xf>
    <xf numFmtId="0" fontId="13" fillId="0" borderId="8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right" vertical="center"/>
    </xf>
    <xf numFmtId="0" fontId="25" fillId="0" borderId="24" xfId="0" applyFont="1" applyBorder="1" applyAlignment="1" applyProtection="1">
      <alignment horizontal="center" vertical="center"/>
      <protection hidden="1"/>
    </xf>
    <xf numFmtId="0" fontId="13" fillId="0" borderId="5" xfId="0" applyFont="1" applyBorder="1" applyAlignment="1">
      <alignment horizontal="center" vertical="center"/>
    </xf>
    <xf numFmtId="0" fontId="13" fillId="17" borderId="5" xfId="0" applyFont="1" applyFill="1" applyBorder="1" applyAlignment="1" applyProtection="1">
      <alignment horizontal="center" vertical="center"/>
      <protection locked="0"/>
    </xf>
    <xf numFmtId="0" fontId="13" fillId="17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3" fillId="27" borderId="0" xfId="0" applyFont="1" applyFill="1" applyAlignment="1">
      <alignment horizontal="center" vertical="center"/>
    </xf>
    <xf numFmtId="0" fontId="13" fillId="24" borderId="0" xfId="0" applyFont="1" applyFill="1" applyAlignment="1">
      <alignment horizontal="center" vertical="center"/>
    </xf>
    <xf numFmtId="0" fontId="13" fillId="2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1" fillId="0" borderId="5" xfId="0" applyFont="1" applyBorder="1" applyAlignment="1" applyProtection="1">
      <alignment horizontal="center" vertical="center"/>
      <protection locked="0"/>
    </xf>
    <xf numFmtId="0" fontId="43" fillId="0" borderId="0" xfId="0" applyFont="1" applyAlignment="1">
      <alignment horizontal="center" vertical="center"/>
    </xf>
    <xf numFmtId="0" fontId="40" fillId="0" borderId="23" xfId="0" applyFont="1" applyBorder="1" applyAlignment="1" applyProtection="1">
      <alignment horizontal="left"/>
      <protection locked="0"/>
    </xf>
    <xf numFmtId="0" fontId="45" fillId="0" borderId="23" xfId="0" applyFont="1" applyBorder="1" applyAlignment="1" applyProtection="1">
      <alignment horizontal="center"/>
      <protection locked="0"/>
    </xf>
    <xf numFmtId="0" fontId="46" fillId="0" borderId="23" xfId="0" applyFont="1" applyBorder="1" applyAlignment="1" applyProtection="1">
      <alignment horizontal="center"/>
      <protection locked="0"/>
    </xf>
    <xf numFmtId="0" fontId="17" fillId="0" borderId="23" xfId="0" applyFont="1" applyBorder="1" applyAlignment="1" applyProtection="1">
      <alignment horizontal="center"/>
      <protection locked="0"/>
    </xf>
    <xf numFmtId="1" fontId="54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17" fillId="29" borderId="0" xfId="0" applyFont="1" applyFill="1" applyAlignment="1">
      <alignment horizontal="left" vertical="center"/>
    </xf>
    <xf numFmtId="0" fontId="15" fillId="22" borderId="0" xfId="0" applyFont="1" applyFill="1" applyAlignment="1" applyProtection="1">
      <alignment horizontal="center" vertical="center" wrapText="1"/>
      <protection hidden="1"/>
    </xf>
    <xf numFmtId="0" fontId="34" fillId="17" borderId="0" xfId="0" applyFont="1" applyFill="1" applyAlignment="1" applyProtection="1">
      <alignment horizontal="center" vertical="center"/>
      <protection hidden="1"/>
    </xf>
    <xf numFmtId="0" fontId="34" fillId="0" borderId="5" xfId="0" applyFont="1" applyBorder="1" applyAlignment="1" applyProtection="1">
      <alignment horizontal="center" vertical="center" wrapText="1"/>
      <protection hidden="1"/>
    </xf>
    <xf numFmtId="0" fontId="34" fillId="0" borderId="5" xfId="0" applyFont="1" applyBorder="1" applyAlignment="1" applyProtection="1">
      <alignment horizontal="center" vertical="center"/>
      <protection hidden="1"/>
    </xf>
    <xf numFmtId="0" fontId="34" fillId="0" borderId="14" xfId="0" applyFont="1" applyBorder="1" applyAlignment="1" applyProtection="1">
      <alignment horizontal="center" vertical="center"/>
      <protection hidden="1"/>
    </xf>
    <xf numFmtId="0" fontId="34" fillId="11" borderId="5" xfId="0" applyFont="1" applyFill="1" applyBorder="1" applyAlignment="1" applyProtection="1">
      <alignment horizontal="center" vertical="center"/>
      <protection hidden="1"/>
    </xf>
    <xf numFmtId="0" fontId="34" fillId="10" borderId="5" xfId="0" applyFont="1" applyFill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right" vertical="center"/>
      <protection hidden="1"/>
    </xf>
    <xf numFmtId="0" fontId="34" fillId="2" borderId="0" xfId="0" applyFont="1" applyFill="1" applyAlignment="1" applyProtection="1">
      <alignment horizontal="left" vertical="center"/>
      <protection locked="0"/>
    </xf>
    <xf numFmtId="0" fontId="34" fillId="0" borderId="23" xfId="0" applyFont="1" applyBorder="1" applyAlignment="1" applyProtection="1">
      <alignment horizontal="right" vertical="center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23" xfId="0" applyFont="1" applyBorder="1" applyAlignment="1" applyProtection="1">
      <alignment horizontal="center" vertical="center" wrapText="1"/>
      <protection hidden="1"/>
    </xf>
    <xf numFmtId="0" fontId="34" fillId="27" borderId="0" xfId="0" applyFont="1" applyFill="1" applyAlignment="1" applyProtection="1">
      <alignment horizontal="center" vertical="center"/>
      <protection hidden="1"/>
    </xf>
    <xf numFmtId="0" fontId="34" fillId="11" borderId="36" xfId="0" applyFont="1" applyFill="1" applyBorder="1" applyAlignment="1" applyProtection="1">
      <alignment horizontal="center" vertical="center"/>
      <protection hidden="1"/>
    </xf>
    <xf numFmtId="0" fontId="34" fillId="11" borderId="39" xfId="0" applyFont="1" applyFill="1" applyBorder="1" applyAlignment="1" applyProtection="1">
      <alignment horizontal="center" vertical="center"/>
      <protection hidden="1"/>
    </xf>
    <xf numFmtId="0" fontId="34" fillId="11" borderId="32" xfId="0" applyFont="1" applyFill="1" applyBorder="1" applyAlignment="1" applyProtection="1">
      <alignment horizontal="center" vertical="center"/>
      <protection hidden="1"/>
    </xf>
    <xf numFmtId="0" fontId="34" fillId="10" borderId="36" xfId="0" applyFont="1" applyFill="1" applyBorder="1" applyAlignment="1" applyProtection="1">
      <alignment horizontal="center" vertical="center"/>
      <protection hidden="1"/>
    </xf>
    <xf numFmtId="0" fontId="34" fillId="10" borderId="39" xfId="0" applyFont="1" applyFill="1" applyBorder="1" applyAlignment="1" applyProtection="1">
      <alignment horizontal="center" vertical="center"/>
      <protection hidden="1"/>
    </xf>
    <xf numFmtId="0" fontId="34" fillId="10" borderId="32" xfId="0" applyFont="1" applyFill="1" applyBorder="1" applyAlignment="1" applyProtection="1">
      <alignment horizontal="center" vertical="center"/>
      <protection hidden="1"/>
    </xf>
    <xf numFmtId="0" fontId="32" fillId="0" borderId="16" xfId="0" applyFont="1" applyBorder="1" applyAlignment="1">
      <alignment horizontal="center" vertical="center"/>
    </xf>
    <xf numFmtId="0" fontId="13" fillId="19" borderId="5" xfId="0" applyFont="1" applyFill="1" applyBorder="1" applyAlignment="1" applyProtection="1">
      <alignment horizontal="center" vertical="center"/>
      <protection hidden="1"/>
    </xf>
    <xf numFmtId="0" fontId="25" fillId="0" borderId="1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31" fillId="25" borderId="22" xfId="0" applyFont="1" applyFill="1" applyBorder="1" applyAlignment="1">
      <alignment horizontal="center" vertical="center"/>
    </xf>
    <xf numFmtId="0" fontId="31" fillId="25" borderId="23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31" fillId="25" borderId="29" xfId="0" applyFont="1" applyFill="1" applyBorder="1" applyAlignment="1">
      <alignment horizontal="center" vertical="center"/>
    </xf>
    <xf numFmtId="0" fontId="31" fillId="25" borderId="30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left" vertical="center"/>
    </xf>
    <xf numFmtId="0" fontId="28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21" borderId="0" xfId="0" applyFont="1" applyFill="1" applyAlignment="1">
      <alignment horizontal="center" vertical="center"/>
    </xf>
    <xf numFmtId="0" fontId="13" fillId="2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24" xfId="0" applyFont="1" applyBorder="1" applyAlignment="1" applyProtection="1">
      <alignment horizontal="left" vertical="center"/>
      <protection locked="0"/>
    </xf>
    <xf numFmtId="0" fontId="21" fillId="0" borderId="0" xfId="0" applyFont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21" fillId="13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3" fillId="1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7" borderId="0" xfId="0" applyFont="1" applyFill="1" applyAlignment="1" applyProtection="1">
      <alignment horizontal="center" vertical="center"/>
      <protection hidden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 wrapText="1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7" fillId="0" borderId="19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0" fontId="1" fillId="4" borderId="20" xfId="0" applyFont="1" applyFill="1" applyBorder="1" applyAlignment="1" applyProtection="1">
      <alignment horizontal="center" vertical="center"/>
      <protection hidden="1"/>
    </xf>
    <xf numFmtId="0" fontId="1" fillId="0" borderId="2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auto="1"/>
      </font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ill>
        <patternFill patternType="solid">
          <bgColor indexed="10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b/>
        <i val="0"/>
      </font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BEE9F"/>
      <color rgb="FFFBC99F"/>
      <color rgb="FFE6F9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1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4.png"/><Relationship Id="rId7" Type="http://schemas.openxmlformats.org/officeDocument/2006/relationships/image" Target="../media/image17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6.png"/><Relationship Id="rId5" Type="http://schemas.openxmlformats.org/officeDocument/2006/relationships/image" Target="../media/image10.png"/><Relationship Id="rId4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16</xdr:row>
      <xdr:rowOff>228606</xdr:rowOff>
    </xdr:from>
    <xdr:to>
      <xdr:col>5</xdr:col>
      <xdr:colOff>590550</xdr:colOff>
      <xdr:row>22</xdr:row>
      <xdr:rowOff>82605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4248150"/>
          <a:ext cx="1676400" cy="139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43705</xdr:colOff>
      <xdr:row>8</xdr:row>
      <xdr:rowOff>90509</xdr:rowOff>
    </xdr:from>
    <xdr:to>
      <xdr:col>5</xdr:col>
      <xdr:colOff>546968</xdr:colOff>
      <xdr:row>13</xdr:row>
      <xdr:rowOff>95251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7790" y="2132330"/>
          <a:ext cx="4610735" cy="1281430"/>
        </a:xfrm>
        <a:prstGeom prst="rect">
          <a:avLst/>
        </a:prstGeom>
      </xdr:spPr>
    </xdr:pic>
    <xdr:clientData/>
  </xdr:twoCellAnchor>
  <xdr:twoCellAnchor>
    <xdr:from>
      <xdr:col>3</xdr:col>
      <xdr:colOff>818285</xdr:colOff>
      <xdr:row>21</xdr:row>
      <xdr:rowOff>64119</xdr:rowOff>
    </xdr:from>
    <xdr:to>
      <xdr:col>3</xdr:col>
      <xdr:colOff>818285</xdr:colOff>
      <xdr:row>21</xdr:row>
      <xdr:rowOff>232207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3543300" y="5424170"/>
          <a:ext cx="0" cy="168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952053</xdr:colOff>
      <xdr:row>21</xdr:row>
      <xdr:rowOff>73434</xdr:rowOff>
    </xdr:from>
    <xdr:to>
      <xdr:col>3</xdr:col>
      <xdr:colOff>952053</xdr:colOff>
      <xdr:row>21</xdr:row>
      <xdr:rowOff>241522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3677285" y="5433695"/>
          <a:ext cx="0" cy="168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209549</xdr:colOff>
      <xdr:row>15</xdr:row>
      <xdr:rowOff>247413</xdr:rowOff>
    </xdr:from>
    <xdr:to>
      <xdr:col>17</xdr:col>
      <xdr:colOff>12542</xdr:colOff>
      <xdr:row>21</xdr:row>
      <xdr:rowOff>190500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738225" y="4076065"/>
          <a:ext cx="4489450" cy="14751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110872</xdr:colOff>
      <xdr:row>35</xdr:row>
      <xdr:rowOff>276225</xdr:rowOff>
    </xdr:from>
    <xdr:to>
      <xdr:col>31</xdr:col>
      <xdr:colOff>447676</xdr:colOff>
      <xdr:row>39</xdr:row>
      <xdr:rowOff>304571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73020" y="11984355"/>
          <a:ext cx="1576705" cy="135382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27</xdr:row>
      <xdr:rowOff>38100</xdr:rowOff>
    </xdr:from>
    <xdr:to>
      <xdr:col>0</xdr:col>
      <xdr:colOff>1721870</xdr:colOff>
      <xdr:row>30</xdr:row>
      <xdr:rowOff>100119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925" y="9094470"/>
          <a:ext cx="1559560" cy="1056005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89</xdr:row>
      <xdr:rowOff>114300</xdr:rowOff>
    </xdr:from>
    <xdr:to>
      <xdr:col>0</xdr:col>
      <xdr:colOff>1589930</xdr:colOff>
      <xdr:row>92</xdr:row>
      <xdr:rowOff>28575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7965" y="29721810"/>
          <a:ext cx="1361440" cy="90868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23</xdr:row>
      <xdr:rowOff>295276</xdr:rowOff>
    </xdr:from>
    <xdr:to>
      <xdr:col>6</xdr:col>
      <xdr:colOff>542925</xdr:colOff>
      <xdr:row>26</xdr:row>
      <xdr:rowOff>199679</xdr:rowOff>
    </xdr:to>
    <xdr:pic>
      <xdr:nvPicPr>
        <xdr:cNvPr id="1030" name="Picture 6" descr="C:\Users\Lenovo\AppData\Roaming\Tencent\Users\771937246\QQ\WinTemp\RichOle\(9F6E_(V}2KEYW6$U90Y[_H.png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104" r="2723" b="32904"/>
        <a:stretch>
          <a:fillRect/>
        </a:stretch>
      </xdr:blipFill>
      <xdr:spPr>
        <a:xfrm>
          <a:off x="123825" y="8025765"/>
          <a:ext cx="6480810" cy="898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76</xdr:row>
      <xdr:rowOff>323850</xdr:rowOff>
    </xdr:from>
    <xdr:to>
      <xdr:col>7</xdr:col>
      <xdr:colOff>57150</xdr:colOff>
      <xdr:row>79</xdr:row>
      <xdr:rowOff>104775</xdr:rowOff>
    </xdr:to>
    <xdr:pic>
      <xdr:nvPicPr>
        <xdr:cNvPr id="1049" name="Picture 25" descr="C:\Users\Lenovo\AppData\Roaming\Tencent\Users\771937246\QQ\WinTemp\RichOle\ZMLZ`MG}~[FH}HN5]]L@KTL.png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r="1524"/>
        <a:stretch>
          <a:fillRect/>
        </a:stretch>
      </xdr:blipFill>
      <xdr:spPr>
        <a:xfrm>
          <a:off x="66675" y="25622250"/>
          <a:ext cx="6824345" cy="77533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85726</xdr:colOff>
      <xdr:row>86</xdr:row>
      <xdr:rowOff>19051</xdr:rowOff>
    </xdr:from>
    <xdr:to>
      <xdr:col>6</xdr:col>
      <xdr:colOff>504825</xdr:colOff>
      <xdr:row>88</xdr:row>
      <xdr:rowOff>247304</xdr:rowOff>
    </xdr:to>
    <xdr:pic>
      <xdr:nvPicPr>
        <xdr:cNvPr id="20" name="Picture 6" descr="C:\Users\Lenovo\AppData\Roaming\Tencent\Users\771937246\QQ\WinTemp\RichOle\(9F6E_(V}2KEYW6$U90Y[_H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104" r="2723" b="32904"/>
        <a:stretch>
          <a:fillRect/>
        </a:stretch>
      </xdr:blipFill>
      <xdr:spPr>
        <a:xfrm>
          <a:off x="85725" y="28632150"/>
          <a:ext cx="6480810" cy="89090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123825</xdr:colOff>
      <xdr:row>139</xdr:row>
      <xdr:rowOff>114298</xdr:rowOff>
    </xdr:from>
    <xdr:to>
      <xdr:col>7</xdr:col>
      <xdr:colOff>14018</xdr:colOff>
      <xdr:row>141</xdr:row>
      <xdr:rowOff>104774</xdr:rowOff>
    </xdr:to>
    <xdr:pic>
      <xdr:nvPicPr>
        <xdr:cNvPr id="21" name="Picture 25" descr="C:\Users\Lenovo\AppData\Roaming\Tencent\Users\771937246\QQ\WinTemp\RichOle\ZMLZ`MG}~[FH}HN5]]L@KTL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r="1524"/>
        <a:stretch>
          <a:fillRect/>
        </a:stretch>
      </xdr:blipFill>
      <xdr:spPr>
        <a:xfrm flipV="1">
          <a:off x="123825" y="46294675"/>
          <a:ext cx="6724015" cy="65341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419101</xdr:colOff>
      <xdr:row>161</xdr:row>
      <xdr:rowOff>319930</xdr:rowOff>
    </xdr:from>
    <xdr:to>
      <xdr:col>6</xdr:col>
      <xdr:colOff>38100</xdr:colOff>
      <xdr:row>167</xdr:row>
      <xdr:rowOff>105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419100" y="53792755"/>
          <a:ext cx="5680710" cy="1669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276225</xdr:colOff>
      <xdr:row>56</xdr:row>
      <xdr:rowOff>104775</xdr:rowOff>
    </xdr:from>
    <xdr:to>
      <xdr:col>8</xdr:col>
      <xdr:colOff>619125</xdr:colOff>
      <xdr:row>56</xdr:row>
      <xdr:rowOff>274623</xdr:rowOff>
    </xdr:to>
    <xdr:sp macro="" textlink="">
      <xdr:nvSpPr>
        <xdr:cNvPr id="13" name="左箭头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7662545" y="1877377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314325</xdr:colOff>
      <xdr:row>61</xdr:row>
      <xdr:rowOff>76200</xdr:rowOff>
    </xdr:from>
    <xdr:to>
      <xdr:col>8</xdr:col>
      <xdr:colOff>657225</xdr:colOff>
      <xdr:row>61</xdr:row>
      <xdr:rowOff>246048</xdr:rowOff>
    </xdr:to>
    <xdr:sp macro="" textlink="">
      <xdr:nvSpPr>
        <xdr:cNvPr id="15" name="左箭头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7700645" y="2040255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295275</xdr:colOff>
      <xdr:row>67</xdr:row>
      <xdr:rowOff>76200</xdr:rowOff>
    </xdr:from>
    <xdr:to>
      <xdr:col>8</xdr:col>
      <xdr:colOff>638175</xdr:colOff>
      <xdr:row>67</xdr:row>
      <xdr:rowOff>246048</xdr:rowOff>
    </xdr:to>
    <xdr:sp macro="" textlink="">
      <xdr:nvSpPr>
        <xdr:cNvPr id="16" name="左箭头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7681595" y="2239137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285750</xdr:colOff>
      <xdr:row>72</xdr:row>
      <xdr:rowOff>95250</xdr:rowOff>
    </xdr:from>
    <xdr:to>
      <xdr:col>8</xdr:col>
      <xdr:colOff>628650</xdr:colOff>
      <xdr:row>72</xdr:row>
      <xdr:rowOff>265098</xdr:rowOff>
    </xdr:to>
    <xdr:sp macro="" textlink="">
      <xdr:nvSpPr>
        <xdr:cNvPr id="17" name="左箭头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7672070" y="2406777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247650</xdr:colOff>
      <xdr:row>75</xdr:row>
      <xdr:rowOff>95250</xdr:rowOff>
    </xdr:from>
    <xdr:to>
      <xdr:col>8</xdr:col>
      <xdr:colOff>590550</xdr:colOff>
      <xdr:row>75</xdr:row>
      <xdr:rowOff>265098</xdr:rowOff>
    </xdr:to>
    <xdr:sp macro="" textlink="">
      <xdr:nvSpPr>
        <xdr:cNvPr id="18" name="左箭头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633970" y="2506218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257175</xdr:colOff>
      <xdr:row>118</xdr:row>
      <xdr:rowOff>28575</xdr:rowOff>
    </xdr:from>
    <xdr:to>
      <xdr:col>8</xdr:col>
      <xdr:colOff>600075</xdr:colOff>
      <xdr:row>118</xdr:row>
      <xdr:rowOff>198423</xdr:rowOff>
    </xdr:to>
    <xdr:sp macro="" textlink="">
      <xdr:nvSpPr>
        <xdr:cNvPr id="19" name="左箭头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7643495" y="3924871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247650</xdr:colOff>
      <xdr:row>123</xdr:row>
      <xdr:rowOff>66675</xdr:rowOff>
    </xdr:from>
    <xdr:to>
      <xdr:col>8</xdr:col>
      <xdr:colOff>590550</xdr:colOff>
      <xdr:row>123</xdr:row>
      <xdr:rowOff>236523</xdr:rowOff>
    </xdr:to>
    <xdr:sp macro="" textlink="">
      <xdr:nvSpPr>
        <xdr:cNvPr id="22" name="左箭头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7633970" y="4094416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266700</xdr:colOff>
      <xdr:row>130</xdr:row>
      <xdr:rowOff>66675</xdr:rowOff>
    </xdr:from>
    <xdr:to>
      <xdr:col>8</xdr:col>
      <xdr:colOff>609600</xdr:colOff>
      <xdr:row>130</xdr:row>
      <xdr:rowOff>238125</xdr:rowOff>
    </xdr:to>
    <xdr:sp macro="" textlink="">
      <xdr:nvSpPr>
        <xdr:cNvPr id="23" name="左箭头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53020" y="43264455"/>
          <a:ext cx="342900" cy="1714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285750</xdr:colOff>
      <xdr:row>137</xdr:row>
      <xdr:rowOff>57150</xdr:rowOff>
    </xdr:from>
    <xdr:to>
      <xdr:col>8</xdr:col>
      <xdr:colOff>628650</xdr:colOff>
      <xdr:row>137</xdr:row>
      <xdr:rowOff>226998</xdr:rowOff>
    </xdr:to>
    <xdr:sp macro="" textlink="">
      <xdr:nvSpPr>
        <xdr:cNvPr id="24" name="左箭头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672070" y="4557522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209550</xdr:colOff>
      <xdr:row>84</xdr:row>
      <xdr:rowOff>76200</xdr:rowOff>
    </xdr:from>
    <xdr:to>
      <xdr:col>8</xdr:col>
      <xdr:colOff>552450</xdr:colOff>
      <xdr:row>84</xdr:row>
      <xdr:rowOff>246048</xdr:rowOff>
    </xdr:to>
    <xdr:sp macro="" textlink="">
      <xdr:nvSpPr>
        <xdr:cNvPr id="25" name="左箭头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7595870" y="2802636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200025</xdr:colOff>
      <xdr:row>83</xdr:row>
      <xdr:rowOff>76200</xdr:rowOff>
    </xdr:from>
    <xdr:to>
      <xdr:col>8</xdr:col>
      <xdr:colOff>542925</xdr:colOff>
      <xdr:row>83</xdr:row>
      <xdr:rowOff>246048</xdr:rowOff>
    </xdr:to>
    <xdr:sp macro="" textlink="">
      <xdr:nvSpPr>
        <xdr:cNvPr id="26" name="左箭头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7586345" y="2769489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209550</xdr:colOff>
      <xdr:row>146</xdr:row>
      <xdr:rowOff>57150</xdr:rowOff>
    </xdr:from>
    <xdr:to>
      <xdr:col>8</xdr:col>
      <xdr:colOff>552450</xdr:colOff>
      <xdr:row>146</xdr:row>
      <xdr:rowOff>226998</xdr:rowOff>
    </xdr:to>
    <xdr:sp macro="" textlink="">
      <xdr:nvSpPr>
        <xdr:cNvPr id="27" name="左箭头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7595870" y="4855845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314325</xdr:colOff>
      <xdr:row>191</xdr:row>
      <xdr:rowOff>47625</xdr:rowOff>
    </xdr:from>
    <xdr:to>
      <xdr:col>8</xdr:col>
      <xdr:colOff>657225</xdr:colOff>
      <xdr:row>191</xdr:row>
      <xdr:rowOff>217473</xdr:rowOff>
    </xdr:to>
    <xdr:sp macro="" textlink="">
      <xdr:nvSpPr>
        <xdr:cNvPr id="28" name="左箭头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7700645" y="6346507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304800</xdr:colOff>
      <xdr:row>190</xdr:row>
      <xdr:rowOff>28575</xdr:rowOff>
    </xdr:from>
    <xdr:to>
      <xdr:col>8</xdr:col>
      <xdr:colOff>647700</xdr:colOff>
      <xdr:row>190</xdr:row>
      <xdr:rowOff>198423</xdr:rowOff>
    </xdr:to>
    <xdr:sp macro="" textlink="">
      <xdr:nvSpPr>
        <xdr:cNvPr id="29" name="左箭头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91120" y="6311455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304800</xdr:colOff>
      <xdr:row>189</xdr:row>
      <xdr:rowOff>38100</xdr:rowOff>
    </xdr:from>
    <xdr:to>
      <xdr:col>8</xdr:col>
      <xdr:colOff>647700</xdr:colOff>
      <xdr:row>189</xdr:row>
      <xdr:rowOff>207948</xdr:rowOff>
    </xdr:to>
    <xdr:sp macro="" textlink="">
      <xdr:nvSpPr>
        <xdr:cNvPr id="30" name="左箭头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7691120" y="6279261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323850</xdr:colOff>
      <xdr:row>217</xdr:row>
      <xdr:rowOff>95250</xdr:rowOff>
    </xdr:from>
    <xdr:to>
      <xdr:col>8</xdr:col>
      <xdr:colOff>666750</xdr:colOff>
      <xdr:row>217</xdr:row>
      <xdr:rowOff>265098</xdr:rowOff>
    </xdr:to>
    <xdr:sp macro="" textlink="">
      <xdr:nvSpPr>
        <xdr:cNvPr id="31" name="左箭头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7710170" y="7213092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314325</xdr:colOff>
      <xdr:row>216</xdr:row>
      <xdr:rowOff>85725</xdr:rowOff>
    </xdr:from>
    <xdr:to>
      <xdr:col>8</xdr:col>
      <xdr:colOff>657225</xdr:colOff>
      <xdr:row>216</xdr:row>
      <xdr:rowOff>255573</xdr:rowOff>
    </xdr:to>
    <xdr:sp macro="" textlink="">
      <xdr:nvSpPr>
        <xdr:cNvPr id="32" name="左箭头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700645" y="7178992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333375</xdr:colOff>
      <xdr:row>215</xdr:row>
      <xdr:rowOff>104775</xdr:rowOff>
    </xdr:from>
    <xdr:to>
      <xdr:col>8</xdr:col>
      <xdr:colOff>676275</xdr:colOff>
      <xdr:row>215</xdr:row>
      <xdr:rowOff>274623</xdr:rowOff>
    </xdr:to>
    <xdr:sp macro="" textlink="">
      <xdr:nvSpPr>
        <xdr:cNvPr id="33" name="左箭头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7719695" y="7147750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276225</xdr:colOff>
      <xdr:row>247</xdr:row>
      <xdr:rowOff>19050</xdr:rowOff>
    </xdr:from>
    <xdr:to>
      <xdr:col>8</xdr:col>
      <xdr:colOff>619125</xdr:colOff>
      <xdr:row>247</xdr:row>
      <xdr:rowOff>188898</xdr:rowOff>
    </xdr:to>
    <xdr:sp macro="" textlink="">
      <xdr:nvSpPr>
        <xdr:cNvPr id="34" name="左箭头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7662545" y="8199882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285750</xdr:colOff>
      <xdr:row>249</xdr:row>
      <xdr:rowOff>19050</xdr:rowOff>
    </xdr:from>
    <xdr:to>
      <xdr:col>8</xdr:col>
      <xdr:colOff>628650</xdr:colOff>
      <xdr:row>249</xdr:row>
      <xdr:rowOff>188898</xdr:rowOff>
    </xdr:to>
    <xdr:sp macro="" textlink="">
      <xdr:nvSpPr>
        <xdr:cNvPr id="35" name="左箭头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7672070" y="8266176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276225</xdr:colOff>
      <xdr:row>251</xdr:row>
      <xdr:rowOff>19050</xdr:rowOff>
    </xdr:from>
    <xdr:to>
      <xdr:col>8</xdr:col>
      <xdr:colOff>619125</xdr:colOff>
      <xdr:row>251</xdr:row>
      <xdr:rowOff>188898</xdr:rowOff>
    </xdr:to>
    <xdr:sp macro="" textlink="">
      <xdr:nvSpPr>
        <xdr:cNvPr id="36" name="左箭头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7662545" y="8332470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257175</xdr:colOff>
      <xdr:row>253</xdr:row>
      <xdr:rowOff>9525</xdr:rowOff>
    </xdr:from>
    <xdr:to>
      <xdr:col>8</xdr:col>
      <xdr:colOff>600075</xdr:colOff>
      <xdr:row>253</xdr:row>
      <xdr:rowOff>179373</xdr:rowOff>
    </xdr:to>
    <xdr:sp macro="" textlink="">
      <xdr:nvSpPr>
        <xdr:cNvPr id="37" name="左箭头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7643495" y="8397811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276225</xdr:colOff>
      <xdr:row>248</xdr:row>
      <xdr:rowOff>28575</xdr:rowOff>
    </xdr:from>
    <xdr:to>
      <xdr:col>8</xdr:col>
      <xdr:colOff>619125</xdr:colOff>
      <xdr:row>248</xdr:row>
      <xdr:rowOff>198423</xdr:rowOff>
    </xdr:to>
    <xdr:sp macro="" textlink="">
      <xdr:nvSpPr>
        <xdr:cNvPr id="44" name="左箭头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7662545" y="8233981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295275</xdr:colOff>
      <xdr:row>250</xdr:row>
      <xdr:rowOff>38100</xdr:rowOff>
    </xdr:from>
    <xdr:to>
      <xdr:col>8</xdr:col>
      <xdr:colOff>638175</xdr:colOff>
      <xdr:row>250</xdr:row>
      <xdr:rowOff>207948</xdr:rowOff>
    </xdr:to>
    <xdr:sp macro="" textlink="">
      <xdr:nvSpPr>
        <xdr:cNvPr id="45" name="左箭头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7681595" y="8301228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304800</xdr:colOff>
      <xdr:row>252</xdr:row>
      <xdr:rowOff>9525</xdr:rowOff>
    </xdr:from>
    <xdr:to>
      <xdr:col>8</xdr:col>
      <xdr:colOff>647700</xdr:colOff>
      <xdr:row>252</xdr:row>
      <xdr:rowOff>179373</xdr:rowOff>
    </xdr:to>
    <xdr:sp macro="" textlink="">
      <xdr:nvSpPr>
        <xdr:cNvPr id="46" name="左箭头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7691120" y="8364664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381000</xdr:colOff>
      <xdr:row>267</xdr:row>
      <xdr:rowOff>76200</xdr:rowOff>
    </xdr:from>
    <xdr:to>
      <xdr:col>8</xdr:col>
      <xdr:colOff>723900</xdr:colOff>
      <xdr:row>267</xdr:row>
      <xdr:rowOff>246048</xdr:rowOff>
    </xdr:to>
    <xdr:sp macro="" textlink="">
      <xdr:nvSpPr>
        <xdr:cNvPr id="47" name="左箭头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7767320" y="8868537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390525</xdr:colOff>
      <xdr:row>269</xdr:row>
      <xdr:rowOff>76200</xdr:rowOff>
    </xdr:from>
    <xdr:to>
      <xdr:col>8</xdr:col>
      <xdr:colOff>733425</xdr:colOff>
      <xdr:row>269</xdr:row>
      <xdr:rowOff>246048</xdr:rowOff>
    </xdr:to>
    <xdr:sp macro="" textlink="">
      <xdr:nvSpPr>
        <xdr:cNvPr id="48" name="左箭头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7776845" y="8934831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381000</xdr:colOff>
      <xdr:row>271</xdr:row>
      <xdr:rowOff>76200</xdr:rowOff>
    </xdr:from>
    <xdr:to>
      <xdr:col>8</xdr:col>
      <xdr:colOff>723900</xdr:colOff>
      <xdr:row>271</xdr:row>
      <xdr:rowOff>246048</xdr:rowOff>
    </xdr:to>
    <xdr:sp macro="" textlink="">
      <xdr:nvSpPr>
        <xdr:cNvPr id="49" name="左箭头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7767320" y="9001125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361950</xdr:colOff>
      <xdr:row>273</xdr:row>
      <xdr:rowOff>66675</xdr:rowOff>
    </xdr:from>
    <xdr:to>
      <xdr:col>8</xdr:col>
      <xdr:colOff>704850</xdr:colOff>
      <xdr:row>273</xdr:row>
      <xdr:rowOff>236523</xdr:rowOff>
    </xdr:to>
    <xdr:sp macro="" textlink="">
      <xdr:nvSpPr>
        <xdr:cNvPr id="50" name="左箭头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7748270" y="9066466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381000</xdr:colOff>
      <xdr:row>268</xdr:row>
      <xdr:rowOff>85725</xdr:rowOff>
    </xdr:from>
    <xdr:to>
      <xdr:col>8</xdr:col>
      <xdr:colOff>723900</xdr:colOff>
      <xdr:row>268</xdr:row>
      <xdr:rowOff>255573</xdr:rowOff>
    </xdr:to>
    <xdr:sp macro="" textlink="">
      <xdr:nvSpPr>
        <xdr:cNvPr id="51" name="左箭头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7767320" y="8902636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400050</xdr:colOff>
      <xdr:row>270</xdr:row>
      <xdr:rowOff>95250</xdr:rowOff>
    </xdr:from>
    <xdr:to>
      <xdr:col>8</xdr:col>
      <xdr:colOff>742950</xdr:colOff>
      <xdr:row>270</xdr:row>
      <xdr:rowOff>265098</xdr:rowOff>
    </xdr:to>
    <xdr:sp macro="" textlink="">
      <xdr:nvSpPr>
        <xdr:cNvPr id="52" name="左箭头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7786370" y="8969883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409575</xdr:colOff>
      <xdr:row>272</xdr:row>
      <xdr:rowOff>66675</xdr:rowOff>
    </xdr:from>
    <xdr:to>
      <xdr:col>8</xdr:col>
      <xdr:colOff>752475</xdr:colOff>
      <xdr:row>272</xdr:row>
      <xdr:rowOff>236523</xdr:rowOff>
    </xdr:to>
    <xdr:sp macro="" textlink="">
      <xdr:nvSpPr>
        <xdr:cNvPr id="53" name="左箭头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7795895" y="90333195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238125</xdr:colOff>
      <xdr:row>55</xdr:row>
      <xdr:rowOff>133350</xdr:rowOff>
    </xdr:from>
    <xdr:to>
      <xdr:col>8</xdr:col>
      <xdr:colOff>581025</xdr:colOff>
      <xdr:row>55</xdr:row>
      <xdr:rowOff>303198</xdr:rowOff>
    </xdr:to>
    <xdr:sp macro="" textlink="">
      <xdr:nvSpPr>
        <xdr:cNvPr id="42" name="左箭头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7624445" y="18470880"/>
          <a:ext cx="342900" cy="16954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 editAs="oneCell">
    <xdr:from>
      <xdr:col>14</xdr:col>
      <xdr:colOff>221134</xdr:colOff>
      <xdr:row>39</xdr:row>
      <xdr:rowOff>247650</xdr:rowOff>
    </xdr:from>
    <xdr:to>
      <xdr:col>80</xdr:col>
      <xdr:colOff>695325</xdr:colOff>
      <xdr:row>53</xdr:row>
      <xdr:rowOff>247650</xdr:rowOff>
    </xdr:to>
    <xdr:pic>
      <xdr:nvPicPr>
        <xdr:cNvPr id="43" name="Picture 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t="6906" b="2590"/>
        <a:stretch>
          <a:fillRect/>
        </a:stretch>
      </xdr:blipFill>
      <xdr:spPr>
        <a:xfrm>
          <a:off x="12609830" y="13281660"/>
          <a:ext cx="5107305" cy="46405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110872</xdr:colOff>
      <xdr:row>36</xdr:row>
      <xdr:rowOff>276225</xdr:rowOff>
    </xdr:from>
    <xdr:to>
      <xdr:col>80</xdr:col>
      <xdr:colOff>304801</xdr:colOff>
      <xdr:row>39</xdr:row>
      <xdr:rowOff>28346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92780" y="12353925"/>
          <a:ext cx="2053590" cy="746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28</xdr:row>
      <xdr:rowOff>38100</xdr:rowOff>
    </xdr:from>
    <xdr:to>
      <xdr:col>0</xdr:col>
      <xdr:colOff>1419225</xdr:colOff>
      <xdr:row>31</xdr:row>
      <xdr:rowOff>215462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290" y="9464040"/>
          <a:ext cx="1257935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333373</xdr:colOff>
      <xdr:row>83</xdr:row>
      <xdr:rowOff>133737</xdr:rowOff>
    </xdr:from>
    <xdr:to>
      <xdr:col>0</xdr:col>
      <xdr:colOff>1504950</xdr:colOff>
      <xdr:row>86</xdr:row>
      <xdr:rowOff>247651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32740" y="27790140"/>
          <a:ext cx="1172210" cy="110871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24</xdr:row>
      <xdr:rowOff>295276</xdr:rowOff>
    </xdr:from>
    <xdr:to>
      <xdr:col>5</xdr:col>
      <xdr:colOff>285750</xdr:colOff>
      <xdr:row>26</xdr:row>
      <xdr:rowOff>190154</xdr:rowOff>
    </xdr:to>
    <xdr:pic>
      <xdr:nvPicPr>
        <xdr:cNvPr id="5" name="Picture 6" descr="C:\Users\Lenovo\AppData\Roaming\Tencent\Users\771937246\QQ\WinTemp\RichOle\(9F6E_(V}2KEYW6$U90Y[_H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104" r="2723" b="32904"/>
        <a:stretch>
          <a:fillRect/>
        </a:stretch>
      </xdr:blipFill>
      <xdr:spPr>
        <a:xfrm>
          <a:off x="123825" y="8395335"/>
          <a:ext cx="5565775" cy="55753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390525</xdr:colOff>
      <xdr:row>71</xdr:row>
      <xdr:rowOff>209550</xdr:rowOff>
    </xdr:from>
    <xdr:to>
      <xdr:col>6</xdr:col>
      <xdr:colOff>323850</xdr:colOff>
      <xdr:row>73</xdr:row>
      <xdr:rowOff>28575</xdr:rowOff>
    </xdr:to>
    <xdr:pic>
      <xdr:nvPicPr>
        <xdr:cNvPr id="6" name="Picture 25" descr="C:\Users\Lenovo\AppData\Roaming\Tencent\Users\771937246\QQ\WinTemp\RichOle\ZMLZ`MG}~[FH}HN5]]L@KTL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r="1524"/>
        <a:stretch>
          <a:fillRect/>
        </a:stretch>
      </xdr:blipFill>
      <xdr:spPr>
        <a:xfrm>
          <a:off x="390525" y="23888700"/>
          <a:ext cx="5995035" cy="48196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561976</xdr:colOff>
      <xdr:row>80</xdr:row>
      <xdr:rowOff>142876</xdr:rowOff>
    </xdr:from>
    <xdr:to>
      <xdr:col>6</xdr:col>
      <xdr:colOff>66675</xdr:colOff>
      <xdr:row>82</xdr:row>
      <xdr:rowOff>18704</xdr:rowOff>
    </xdr:to>
    <xdr:pic>
      <xdr:nvPicPr>
        <xdr:cNvPr id="7" name="Picture 6" descr="C:\Users\Lenovo\AppData\Roaming\Tencent\Users\771937246\QQ\WinTemp\RichOle\(9F6E_(V}2KEYW6$U90Y[_H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104" r="2723" b="32904"/>
        <a:stretch>
          <a:fillRect/>
        </a:stretch>
      </xdr:blipFill>
      <xdr:spPr>
        <a:xfrm>
          <a:off x="561975" y="26805255"/>
          <a:ext cx="5566410" cy="53848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638175</xdr:colOff>
      <xdr:row>121</xdr:row>
      <xdr:rowOff>219073</xdr:rowOff>
    </xdr:from>
    <xdr:to>
      <xdr:col>6</xdr:col>
      <xdr:colOff>471218</xdr:colOff>
      <xdr:row>122</xdr:row>
      <xdr:rowOff>247649</xdr:rowOff>
    </xdr:to>
    <xdr:pic>
      <xdr:nvPicPr>
        <xdr:cNvPr id="8" name="Picture 25" descr="C:\Users\Lenovo\AppData\Roaming\Tencent\Users\771937246\QQ\WinTemp\RichOle\ZMLZ`MG}~[FH}HN5]]L@KTL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r="1524"/>
        <a:stretch>
          <a:fillRect/>
        </a:stretch>
      </xdr:blipFill>
      <xdr:spPr>
        <a:xfrm flipV="1">
          <a:off x="638175" y="40471090"/>
          <a:ext cx="5894705" cy="36004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996951</xdr:colOff>
      <xdr:row>144</xdr:row>
      <xdr:rowOff>116730</xdr:rowOff>
    </xdr:from>
    <xdr:to>
      <xdr:col>5</xdr:col>
      <xdr:colOff>358775</xdr:colOff>
      <xdr:row>147</xdr:row>
      <xdr:rowOff>60430</xdr:rowOff>
    </xdr:to>
    <xdr:pic>
      <xdr:nvPicPr>
        <xdr:cNvPr id="9" name="Picture 4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996950" y="47992665"/>
          <a:ext cx="4765675" cy="93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93</xdr:row>
      <xdr:rowOff>66673</xdr:rowOff>
    </xdr:from>
    <xdr:to>
      <xdr:col>9</xdr:col>
      <xdr:colOff>585518</xdr:colOff>
      <xdr:row>96</xdr:row>
      <xdr:rowOff>228599</xdr:rowOff>
    </xdr:to>
    <xdr:pic>
      <xdr:nvPicPr>
        <xdr:cNvPr id="2" name="Picture 25" descr="C:\Users\Lenovo\AppData\Roaming\Tencent\Users\771937246\QQ\WinTemp\RichOle\ZMLZ`MG}~[FH}HN5]]L@KTL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524"/>
        <a:stretch>
          <a:fillRect/>
        </a:stretch>
      </xdr:blipFill>
      <xdr:spPr>
        <a:xfrm flipV="1">
          <a:off x="0" y="31037530"/>
          <a:ext cx="9324340" cy="115633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996951</xdr:colOff>
      <xdr:row>107</xdr:row>
      <xdr:rowOff>116730</xdr:rowOff>
    </xdr:from>
    <xdr:to>
      <xdr:col>8</xdr:col>
      <xdr:colOff>273050</xdr:colOff>
      <xdr:row>116</xdr:row>
      <xdr:rowOff>117580</xdr:rowOff>
    </xdr:to>
    <xdr:pic>
      <xdr:nvPicPr>
        <xdr:cNvPr id="3" name="Picture 4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996950" y="35728275"/>
          <a:ext cx="7166610" cy="2984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638175</xdr:colOff>
      <xdr:row>97</xdr:row>
      <xdr:rowOff>219073</xdr:rowOff>
    </xdr:from>
    <xdr:to>
      <xdr:col>8</xdr:col>
      <xdr:colOff>185468</xdr:colOff>
      <xdr:row>99</xdr:row>
      <xdr:rowOff>171449</xdr:rowOff>
    </xdr:to>
    <xdr:pic>
      <xdr:nvPicPr>
        <xdr:cNvPr id="4" name="Picture 25" descr="C:\Users\Lenovo\AppData\Roaming\Tencent\Users\771937246\QQ\WinTemp\RichOle\ZMLZ`MG}~[FH}HN5]]L@KT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524"/>
        <a:stretch>
          <a:fillRect/>
        </a:stretch>
      </xdr:blipFill>
      <xdr:spPr>
        <a:xfrm flipV="1">
          <a:off x="638175" y="32515810"/>
          <a:ext cx="7437755" cy="61531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996951</xdr:colOff>
      <xdr:row>120</xdr:row>
      <xdr:rowOff>116730</xdr:rowOff>
    </xdr:from>
    <xdr:to>
      <xdr:col>6</xdr:col>
      <xdr:colOff>225425</xdr:colOff>
      <xdr:row>125</xdr:row>
      <xdr:rowOff>127105</xdr:rowOff>
    </xdr:to>
    <xdr:pic>
      <xdr:nvPicPr>
        <xdr:cNvPr id="5" name="Picture 4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996950" y="40037385"/>
          <a:ext cx="5794375" cy="16681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20</xdr:row>
      <xdr:rowOff>6402</xdr:rowOff>
    </xdr:from>
    <xdr:to>
      <xdr:col>14</xdr:col>
      <xdr:colOff>533679</xdr:colOff>
      <xdr:row>42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8275" y="3625850"/>
          <a:ext cx="4886325" cy="4098925"/>
        </a:xfrm>
        <a:prstGeom prst="rect">
          <a:avLst/>
        </a:prstGeom>
      </xdr:spPr>
    </xdr:pic>
    <xdr:clientData/>
  </xdr:twoCellAnchor>
  <xdr:twoCellAnchor editAs="oneCell">
    <xdr:from>
      <xdr:col>22</xdr:col>
      <xdr:colOff>443268</xdr:colOff>
      <xdr:row>4</xdr:row>
      <xdr:rowOff>133350</xdr:rowOff>
    </xdr:from>
    <xdr:to>
      <xdr:col>27</xdr:col>
      <xdr:colOff>176173</xdr:colOff>
      <xdr:row>16</xdr:row>
      <xdr:rowOff>5460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0830" y="857250"/>
          <a:ext cx="3161665" cy="2043430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104775</xdr:colOff>
      <xdr:row>29</xdr:row>
      <xdr:rowOff>85725</xdr:rowOff>
    </xdr:from>
    <xdr:to>
      <xdr:col>22</xdr:col>
      <xdr:colOff>95250</xdr:colOff>
      <xdr:row>38</xdr:row>
      <xdr:rowOff>142875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91775" y="5334000"/>
          <a:ext cx="4791075" cy="1685925"/>
        </a:xfrm>
        <a:prstGeom prst="rect">
          <a:avLst/>
        </a:prstGeom>
      </xdr:spPr>
    </xdr:pic>
    <xdr:clientData/>
  </xdr:twoCellAnchor>
  <xdr:twoCellAnchor editAs="oneCell">
    <xdr:from>
      <xdr:col>7</xdr:col>
      <xdr:colOff>546934</xdr:colOff>
      <xdr:row>1</xdr:row>
      <xdr:rowOff>66674</xdr:rowOff>
    </xdr:from>
    <xdr:to>
      <xdr:col>15</xdr:col>
      <xdr:colOff>89969</xdr:colOff>
      <xdr:row>23</xdr:row>
      <xdr:rowOff>37413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47335" y="247015"/>
          <a:ext cx="5029200" cy="3952240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16</xdr:row>
      <xdr:rowOff>28575</xdr:rowOff>
    </xdr:from>
    <xdr:to>
      <xdr:col>7</xdr:col>
      <xdr:colOff>471972</xdr:colOff>
      <xdr:row>37</xdr:row>
      <xdr:rowOff>11024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t="6906" b="2590"/>
        <a:stretch>
          <a:fillRect/>
        </a:stretch>
      </xdr:blipFill>
      <xdr:spPr>
        <a:xfrm>
          <a:off x="276225" y="2924175"/>
          <a:ext cx="4996180" cy="37826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340638</xdr:colOff>
      <xdr:row>15</xdr:row>
      <xdr:rowOff>142376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5140960" cy="2856865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</xdr:row>
      <xdr:rowOff>133350</xdr:rowOff>
    </xdr:from>
    <xdr:to>
      <xdr:col>22</xdr:col>
      <xdr:colOff>456319</xdr:colOff>
      <xdr:row>28</xdr:row>
      <xdr:rowOff>60123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0" y="314325"/>
          <a:ext cx="5066030" cy="481266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428624</xdr:colOff>
      <xdr:row>43</xdr:row>
      <xdr:rowOff>66674</xdr:rowOff>
    </xdr:from>
    <xdr:to>
      <xdr:col>12</xdr:col>
      <xdr:colOff>285750</xdr:colOff>
      <xdr:row>67</xdr:row>
      <xdr:rowOff>164555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7990" y="7847965"/>
          <a:ext cx="8087360" cy="4441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266700</xdr:colOff>
      <xdr:row>11</xdr:row>
      <xdr:rowOff>219075</xdr:rowOff>
    </xdr:from>
    <xdr:to>
      <xdr:col>43</xdr:col>
      <xdr:colOff>450909</xdr:colOff>
      <xdr:row>19</xdr:row>
      <xdr:rowOff>47101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023580" y="3257550"/>
          <a:ext cx="2241550" cy="2037715"/>
        </a:xfrm>
        <a:prstGeom prst="rect">
          <a:avLst/>
        </a:prstGeom>
      </xdr:spPr>
    </xdr:pic>
    <xdr:clientData/>
  </xdr:twoCellAnchor>
  <xdr:twoCellAnchor editAs="oneCell">
    <xdr:from>
      <xdr:col>3</xdr:col>
      <xdr:colOff>76116</xdr:colOff>
      <xdr:row>5</xdr:row>
      <xdr:rowOff>190499</xdr:rowOff>
    </xdr:from>
    <xdr:to>
      <xdr:col>5</xdr:col>
      <xdr:colOff>591386</xdr:colOff>
      <xdr:row>11</xdr:row>
      <xdr:rowOff>142874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48785" y="1570990"/>
          <a:ext cx="1935480" cy="1609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923926</xdr:colOff>
      <xdr:row>0</xdr:row>
      <xdr:rowOff>0</xdr:rowOff>
    </xdr:from>
    <xdr:to>
      <xdr:col>0</xdr:col>
      <xdr:colOff>923927</xdr:colOff>
      <xdr:row>0</xdr:row>
      <xdr:rowOff>504825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3925" y="0"/>
          <a:ext cx="0" cy="5048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10</xdr:row>
      <xdr:rowOff>184166</xdr:rowOff>
    </xdr:from>
    <xdr:to>
      <xdr:col>7</xdr:col>
      <xdr:colOff>533400</xdr:colOff>
      <xdr:row>15</xdr:row>
      <xdr:rowOff>171450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8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5429" t="17000" r="15314" b="19333"/>
        <a:stretch>
          <a:fillRect/>
        </a:stretch>
      </xdr:blipFill>
      <xdr:spPr>
        <a:xfrm>
          <a:off x="85725" y="3517900"/>
          <a:ext cx="5248275" cy="1654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10</xdr:row>
      <xdr:rowOff>142875</xdr:rowOff>
    </xdr:from>
    <xdr:to>
      <xdr:col>5</xdr:col>
      <xdr:colOff>638175</xdr:colOff>
      <xdr:row>15</xdr:row>
      <xdr:rowOff>295275</xdr:rowOff>
    </xdr:to>
    <xdr:sp macro="" textlink="">
      <xdr:nvSpPr>
        <xdr:cNvPr id="2" name="右大括号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975100" y="2967990"/>
          <a:ext cx="342900" cy="130111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18</xdr:row>
      <xdr:rowOff>142875</xdr:rowOff>
    </xdr:from>
    <xdr:to>
      <xdr:col>5</xdr:col>
      <xdr:colOff>638175</xdr:colOff>
      <xdr:row>23</xdr:row>
      <xdr:rowOff>295275</xdr:rowOff>
    </xdr:to>
    <xdr:sp macro="" textlink="">
      <xdr:nvSpPr>
        <xdr:cNvPr id="3" name="右大括号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3975100" y="4893310"/>
          <a:ext cx="342900" cy="130111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304800</xdr:colOff>
      <xdr:row>1</xdr:row>
      <xdr:rowOff>314325</xdr:rowOff>
    </xdr:from>
    <xdr:to>
      <xdr:col>6</xdr:col>
      <xdr:colOff>114300</xdr:colOff>
      <xdr:row>7</xdr:row>
      <xdr:rowOff>85725</xdr:rowOff>
    </xdr:to>
    <xdr:sp macro="" textlink="">
      <xdr:nvSpPr>
        <xdr:cNvPr id="4" name="右大括号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4089400" y="638175"/>
          <a:ext cx="342900" cy="155067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34</xdr:row>
      <xdr:rowOff>142875</xdr:rowOff>
    </xdr:from>
    <xdr:to>
      <xdr:col>5</xdr:col>
      <xdr:colOff>638175</xdr:colOff>
      <xdr:row>39</xdr:row>
      <xdr:rowOff>295275</xdr:rowOff>
    </xdr:to>
    <xdr:sp macro="" textlink="">
      <xdr:nvSpPr>
        <xdr:cNvPr id="5" name="右大括号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975100" y="8881745"/>
          <a:ext cx="342900" cy="130111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26</xdr:row>
      <xdr:rowOff>142875</xdr:rowOff>
    </xdr:from>
    <xdr:to>
      <xdr:col>5</xdr:col>
      <xdr:colOff>638175</xdr:colOff>
      <xdr:row>31</xdr:row>
      <xdr:rowOff>295275</xdr:rowOff>
    </xdr:to>
    <xdr:sp macro="" textlink="">
      <xdr:nvSpPr>
        <xdr:cNvPr id="6" name="右大括号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3975100" y="6901815"/>
          <a:ext cx="342900" cy="13557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85725</xdr:rowOff>
    </xdr:from>
    <xdr:to>
      <xdr:col>6</xdr:col>
      <xdr:colOff>781050</xdr:colOff>
      <xdr:row>7</xdr:row>
      <xdr:rowOff>180975</xdr:rowOff>
    </xdr:to>
    <xdr:sp macro="" textlink="">
      <xdr:nvSpPr>
        <xdr:cNvPr id="2" name="右大括号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5680075" y="771525"/>
          <a:ext cx="447675" cy="12985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333375</xdr:colOff>
      <xdr:row>10</xdr:row>
      <xdr:rowOff>85725</xdr:rowOff>
    </xdr:from>
    <xdr:to>
      <xdr:col>6</xdr:col>
      <xdr:colOff>781050</xdr:colOff>
      <xdr:row>15</xdr:row>
      <xdr:rowOff>180975</xdr:rowOff>
    </xdr:to>
    <xdr:sp macro="" textlink="">
      <xdr:nvSpPr>
        <xdr:cNvPr id="3" name="右大括号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5680075" y="2696845"/>
          <a:ext cx="447675" cy="12985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333375</xdr:colOff>
      <xdr:row>18</xdr:row>
      <xdr:rowOff>85725</xdr:rowOff>
    </xdr:from>
    <xdr:to>
      <xdr:col>6</xdr:col>
      <xdr:colOff>781050</xdr:colOff>
      <xdr:row>23</xdr:row>
      <xdr:rowOff>180975</xdr:rowOff>
    </xdr:to>
    <xdr:sp macro="" textlink="">
      <xdr:nvSpPr>
        <xdr:cNvPr id="4" name="右大括号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5680075" y="4622165"/>
          <a:ext cx="447675" cy="12985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76200</xdr:colOff>
      <xdr:row>1</xdr:row>
      <xdr:rowOff>228600</xdr:rowOff>
    </xdr:from>
    <xdr:to>
      <xdr:col>26</xdr:col>
      <xdr:colOff>418886</xdr:colOff>
      <xdr:row>10</xdr:row>
      <xdr:rowOff>123533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1800" y="466725"/>
          <a:ext cx="1713865" cy="233299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67738</xdr:rowOff>
    </xdr:from>
    <xdr:to>
      <xdr:col>11</xdr:col>
      <xdr:colOff>44824</xdr:colOff>
      <xdr:row>52</xdr:row>
      <xdr:rowOff>136360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92110"/>
          <a:ext cx="10623550" cy="5983605"/>
        </a:xfrm>
        <a:prstGeom prst="rect">
          <a:avLst/>
        </a:prstGeom>
      </xdr:spPr>
    </xdr:pic>
    <xdr:clientData/>
  </xdr:twoCellAnchor>
  <xdr:twoCellAnchor editAs="oneCell">
    <xdr:from>
      <xdr:col>0</xdr:col>
      <xdr:colOff>616323</xdr:colOff>
      <xdr:row>50</xdr:row>
      <xdr:rowOff>226267</xdr:rowOff>
    </xdr:from>
    <xdr:to>
      <xdr:col>9</xdr:col>
      <xdr:colOff>246530</xdr:colOff>
      <xdr:row>80</xdr:row>
      <xdr:rowOff>124386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950" y="13551535"/>
          <a:ext cx="8322310" cy="7613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67738</xdr:rowOff>
    </xdr:from>
    <xdr:to>
      <xdr:col>11</xdr:col>
      <xdr:colOff>44824</xdr:colOff>
      <xdr:row>52</xdr:row>
      <xdr:rowOff>136360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92110"/>
          <a:ext cx="10623550" cy="5983605"/>
        </a:xfrm>
        <a:prstGeom prst="rect">
          <a:avLst/>
        </a:prstGeom>
      </xdr:spPr>
    </xdr:pic>
    <xdr:clientData/>
  </xdr:twoCellAnchor>
  <xdr:twoCellAnchor editAs="oneCell">
    <xdr:from>
      <xdr:col>0</xdr:col>
      <xdr:colOff>616323</xdr:colOff>
      <xdr:row>50</xdr:row>
      <xdr:rowOff>226267</xdr:rowOff>
    </xdr:from>
    <xdr:to>
      <xdr:col>9</xdr:col>
      <xdr:colOff>246530</xdr:colOff>
      <xdr:row>80</xdr:row>
      <xdr:rowOff>124386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950" y="13551535"/>
          <a:ext cx="8322310" cy="761301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47623</xdr:colOff>
      <xdr:row>34</xdr:row>
      <xdr:rowOff>201757</xdr:rowOff>
    </xdr:from>
    <xdr:ext cx="2255695" cy="484438"/>
    <xdr:pic>
      <xdr:nvPicPr>
        <xdr:cNvPr id="2" name="Picture 1" descr="C:\Documents and Settings\Administrator\Application Data\Tencent\Users\771937246\QQ\WinTemp\RichOle\)KO4~ZDUHDOKX[ZD34)U{60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14516"/>
        <a:stretch>
          <a:fillRect/>
        </a:stretch>
      </xdr:blipFill>
      <xdr:spPr>
        <a:xfrm>
          <a:off x="732790" y="8983345"/>
          <a:ext cx="2256155" cy="484505"/>
        </a:xfrm>
        <a:prstGeom prst="rect">
          <a:avLst/>
        </a:prstGeom>
        <a:noFill/>
      </xdr:spPr>
    </xdr:pic>
    <xdr:clientData/>
  </xdr:oneCellAnchor>
  <xdr:oneCellAnchor>
    <xdr:from>
      <xdr:col>1</xdr:col>
      <xdr:colOff>838200</xdr:colOff>
      <xdr:row>39</xdr:row>
      <xdr:rowOff>171450</xdr:rowOff>
    </xdr:from>
    <xdr:ext cx="1527727" cy="59555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524000" y="10239375"/>
          <a:ext cx="1527175" cy="594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104775</xdr:colOff>
      <xdr:row>46</xdr:row>
      <xdr:rowOff>19051</xdr:rowOff>
    </xdr:from>
    <xdr:ext cx="2276475" cy="404876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790575" y="11887200"/>
          <a:ext cx="2276475" cy="4044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0</xdr:colOff>
      <xdr:row>54</xdr:row>
      <xdr:rowOff>0</xdr:rowOff>
    </xdr:from>
    <xdr:ext cx="2352675" cy="414735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5800" y="13925550"/>
          <a:ext cx="2352675" cy="414655"/>
        </a:xfrm>
        <a:prstGeom prst="rect">
          <a:avLst/>
        </a:prstGeom>
      </xdr:spPr>
    </xdr:pic>
    <xdr:clientData/>
  </xdr:oneCellAnchor>
  <xdr:oneCellAnchor>
    <xdr:from>
      <xdr:col>1</xdr:col>
      <xdr:colOff>1257300</xdr:colOff>
      <xdr:row>57</xdr:row>
      <xdr:rowOff>190500</xdr:rowOff>
    </xdr:from>
    <xdr:ext cx="1180952" cy="571429"/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943100" y="14887575"/>
          <a:ext cx="1180465" cy="570865"/>
        </a:xfrm>
        <a:prstGeom prst="rect">
          <a:avLst/>
        </a:prstGeom>
      </xdr:spPr>
    </xdr:pic>
    <xdr:clientData/>
  </xdr:oneCellAnchor>
  <xdr:oneCellAnchor>
    <xdr:from>
      <xdr:col>1</xdr:col>
      <xdr:colOff>276225</xdr:colOff>
      <xdr:row>62</xdr:row>
      <xdr:rowOff>19050</xdr:rowOff>
    </xdr:from>
    <xdr:ext cx="3064041" cy="762000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62025" y="16002000"/>
          <a:ext cx="3063875" cy="762000"/>
        </a:xfrm>
        <a:prstGeom prst="rect">
          <a:avLst/>
        </a:prstGeom>
      </xdr:spPr>
    </xdr:pic>
    <xdr:clientData/>
  </xdr:oneCellAnchor>
  <xdr:twoCellAnchor editAs="oneCell">
    <xdr:from>
      <xdr:col>1</xdr:col>
      <xdr:colOff>611331</xdr:colOff>
      <xdr:row>79</xdr:row>
      <xdr:rowOff>51089</xdr:rowOff>
    </xdr:from>
    <xdr:to>
      <xdr:col>2</xdr:col>
      <xdr:colOff>0</xdr:colOff>
      <xdr:row>80</xdr:row>
      <xdr:rowOff>216280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1296670" y="20405725"/>
          <a:ext cx="1875790" cy="422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687532</xdr:colOff>
      <xdr:row>75</xdr:row>
      <xdr:rowOff>13855</xdr:rowOff>
    </xdr:from>
    <xdr:to>
      <xdr:col>2</xdr:col>
      <xdr:colOff>0</xdr:colOff>
      <xdr:row>76</xdr:row>
      <xdr:rowOff>204355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1372870" y="19339560"/>
          <a:ext cx="1799590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542927</xdr:colOff>
      <xdr:row>34</xdr:row>
      <xdr:rowOff>104776</xdr:rowOff>
    </xdr:from>
    <xdr:to>
      <xdr:col>6</xdr:col>
      <xdr:colOff>314326</xdr:colOff>
      <xdr:row>35</xdr:row>
      <xdr:rowOff>207531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63445" y="10887075"/>
          <a:ext cx="3249930" cy="416560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552451</xdr:colOff>
      <xdr:row>29</xdr:row>
      <xdr:rowOff>95250</xdr:rowOff>
    </xdr:from>
    <xdr:to>
      <xdr:col>6</xdr:col>
      <xdr:colOff>352426</xdr:colOff>
      <xdr:row>30</xdr:row>
      <xdr:rowOff>202334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72970" y="9305925"/>
          <a:ext cx="3278505" cy="42100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24</xdr:row>
      <xdr:rowOff>104776</xdr:rowOff>
    </xdr:from>
    <xdr:to>
      <xdr:col>6</xdr:col>
      <xdr:colOff>190500</xdr:colOff>
      <xdr:row>25</xdr:row>
      <xdr:rowOff>164235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49830" y="7743825"/>
          <a:ext cx="2839720" cy="373380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19</xdr:row>
      <xdr:rowOff>133351</xdr:rowOff>
    </xdr:from>
    <xdr:to>
      <xdr:col>6</xdr:col>
      <xdr:colOff>228600</xdr:colOff>
      <xdr:row>20</xdr:row>
      <xdr:rowOff>201470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2995" y="6200775"/>
          <a:ext cx="2954655" cy="38227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247651</xdr:colOff>
      <xdr:row>41</xdr:row>
      <xdr:rowOff>133350</xdr:rowOff>
    </xdr:from>
    <xdr:to>
      <xdr:col>4</xdr:col>
      <xdr:colOff>1</xdr:colOff>
      <xdr:row>42</xdr:row>
      <xdr:rowOff>211931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8170" y="13115925"/>
          <a:ext cx="1449070" cy="392430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657226</xdr:colOff>
      <xdr:row>47</xdr:row>
      <xdr:rowOff>180975</xdr:rowOff>
    </xdr:from>
    <xdr:to>
      <xdr:col>5</xdr:col>
      <xdr:colOff>0</xdr:colOff>
      <xdr:row>48</xdr:row>
      <xdr:rowOff>169077</xdr:rowOff>
    </xdr:to>
    <xdr:pic>
      <xdr:nvPicPr>
        <xdr:cNvPr id="7" name="Picture 1" descr="C:\Documents and Settings\Administrator\Application Data\Tencent\Users\771937246\QQ\WinTemp\RichOle\8]D`LJPZ$Q8`O]_~2$[OILQ.png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1467485" y="15049500"/>
          <a:ext cx="2821305" cy="3022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438150</xdr:colOff>
      <xdr:row>55</xdr:row>
      <xdr:rowOff>123825</xdr:rowOff>
    </xdr:from>
    <xdr:to>
      <xdr:col>4</xdr:col>
      <xdr:colOff>47625</xdr:colOff>
      <xdr:row>56</xdr:row>
      <xdr:rowOff>189861</xdr:rowOff>
    </xdr:to>
    <xdr:pic>
      <xdr:nvPicPr>
        <xdr:cNvPr id="8" name="Picture 3" descr="C:\Documents and Settings\Administrator\Application Data\Tencent\Users\771937246\QQ\WinTemp\RichOle\Z_V3ZV}~8P@A0K5OOUW%$QD.png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2058670" y="17506950"/>
          <a:ext cx="1306195" cy="37973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9"/>
  <sheetViews>
    <sheetView showGridLines="0" topLeftCell="A10" workbookViewId="0">
      <selection activeCell="F43" sqref="F43"/>
    </sheetView>
  </sheetViews>
  <sheetFormatPr defaultColWidth="9" defaultRowHeight="19.5" customHeight="1"/>
  <cols>
    <col min="2" max="3" width="9" customWidth="1"/>
  </cols>
  <sheetData>
    <row r="1" spans="1:8" ht="19.5" customHeight="1">
      <c r="A1" s="328"/>
      <c r="B1" s="328"/>
      <c r="C1" s="328"/>
      <c r="D1" s="328"/>
      <c r="E1" s="328"/>
      <c r="F1" s="328"/>
      <c r="G1" s="328"/>
      <c r="H1" s="328"/>
    </row>
    <row r="2" spans="1:8" ht="19.5" customHeight="1">
      <c r="A2" s="329"/>
      <c r="B2" s="372" t="s">
        <v>0</v>
      </c>
      <c r="C2" s="372"/>
      <c r="D2" s="330"/>
      <c r="E2" s="331"/>
      <c r="F2" s="331"/>
      <c r="G2" s="328"/>
      <c r="H2" s="328"/>
    </row>
    <row r="3" spans="1:8" ht="19.5" customHeight="1">
      <c r="A3" s="332"/>
      <c r="B3" s="372"/>
      <c r="C3" s="372"/>
      <c r="D3" s="333"/>
      <c r="E3" s="331"/>
      <c r="F3" s="331"/>
      <c r="G3" s="328"/>
      <c r="H3" s="328"/>
    </row>
    <row r="4" spans="1:8" ht="19.5" customHeight="1">
      <c r="A4" s="332"/>
      <c r="B4" s="334"/>
      <c r="C4" s="334"/>
      <c r="D4" s="333"/>
      <c r="E4" s="331"/>
      <c r="F4" s="331"/>
      <c r="G4" s="328"/>
      <c r="H4" s="328"/>
    </row>
    <row r="5" spans="1:8" ht="19.5" customHeight="1">
      <c r="A5" s="332"/>
      <c r="B5" s="334"/>
      <c r="C5" s="334"/>
      <c r="D5" s="333"/>
      <c r="E5" s="331"/>
      <c r="F5" s="331"/>
      <c r="G5" s="328"/>
      <c r="H5" s="328"/>
    </row>
    <row r="6" spans="1:8" ht="19.5" customHeight="1">
      <c r="A6" s="332"/>
      <c r="B6" s="334"/>
      <c r="C6" s="382" t="s">
        <v>1</v>
      </c>
      <c r="D6" s="382"/>
      <c r="E6" s="382"/>
      <c r="F6" s="382"/>
      <c r="G6" s="328"/>
      <c r="H6" s="328"/>
    </row>
    <row r="7" spans="1:8" ht="19.5" customHeight="1">
      <c r="A7" s="332"/>
      <c r="B7" s="334"/>
      <c r="C7" s="382"/>
      <c r="D7" s="382"/>
      <c r="E7" s="382"/>
      <c r="F7" s="382"/>
      <c r="G7" s="328"/>
      <c r="H7" s="328"/>
    </row>
    <row r="8" spans="1:8" ht="19.5" customHeight="1">
      <c r="A8" s="332"/>
      <c r="B8" s="334"/>
      <c r="C8" s="334"/>
      <c r="D8" s="333"/>
      <c r="E8" s="331"/>
      <c r="F8" s="331"/>
      <c r="G8" s="328"/>
      <c r="H8" s="328"/>
    </row>
    <row r="9" spans="1:8" ht="19.5" customHeight="1">
      <c r="A9" s="332"/>
      <c r="B9" s="334"/>
      <c r="C9" s="334"/>
      <c r="D9" s="333"/>
      <c r="E9" s="331"/>
      <c r="F9" s="331"/>
      <c r="G9" s="328"/>
      <c r="H9" s="328"/>
    </row>
    <row r="10" spans="1:8" ht="19.5" customHeight="1">
      <c r="A10" s="328"/>
      <c r="B10" s="373" t="s">
        <v>2</v>
      </c>
      <c r="C10" s="373"/>
      <c r="D10" s="374" t="s">
        <v>3</v>
      </c>
      <c r="E10" s="374"/>
      <c r="F10" s="374"/>
      <c r="G10" s="374"/>
      <c r="H10" s="374"/>
    </row>
    <row r="11" spans="1:8" ht="19.5" customHeight="1">
      <c r="A11" s="335"/>
      <c r="B11" s="335"/>
      <c r="C11" s="328"/>
      <c r="D11" s="328"/>
      <c r="E11" s="328"/>
      <c r="F11" s="328"/>
      <c r="G11" s="336"/>
      <c r="H11" s="337"/>
    </row>
    <row r="12" spans="1:8" ht="19.5" customHeight="1">
      <c r="A12" s="335"/>
      <c r="B12" s="373" t="s">
        <v>4</v>
      </c>
      <c r="C12" s="373"/>
      <c r="D12" s="375" t="s">
        <v>5</v>
      </c>
      <c r="E12" s="376"/>
      <c r="F12" s="376"/>
      <c r="G12" s="376"/>
      <c r="H12" s="376"/>
    </row>
    <row r="13" spans="1:8" ht="19.5" customHeight="1">
      <c r="A13" s="335"/>
      <c r="B13" s="335"/>
      <c r="C13" s="328"/>
      <c r="D13" s="328"/>
      <c r="E13" s="328"/>
      <c r="F13" s="328"/>
      <c r="G13" s="328"/>
      <c r="H13" s="337"/>
    </row>
    <row r="14" spans="1:8" ht="19.5" customHeight="1">
      <c r="A14" s="328"/>
      <c r="B14" s="373" t="s">
        <v>6</v>
      </c>
      <c r="C14" s="373"/>
      <c r="D14" s="377"/>
      <c r="E14" s="377"/>
      <c r="F14" s="377"/>
      <c r="G14" s="377"/>
      <c r="H14" s="377"/>
    </row>
    <row r="15" spans="1:8" ht="21.75" customHeight="1">
      <c r="A15" s="328"/>
      <c r="B15" s="335"/>
      <c r="C15" s="328"/>
      <c r="D15" s="328"/>
      <c r="E15" s="328"/>
      <c r="F15" s="328"/>
      <c r="G15" s="328"/>
      <c r="H15" s="338"/>
    </row>
    <row r="16" spans="1:8" ht="21.75" customHeight="1">
      <c r="A16" s="328"/>
      <c r="B16" s="335"/>
      <c r="C16" s="339"/>
      <c r="D16" s="340"/>
      <c r="E16" s="341"/>
      <c r="F16" s="337"/>
      <c r="G16" s="342"/>
      <c r="H16" s="338"/>
    </row>
    <row r="17" spans="1:9" ht="21.75" customHeight="1">
      <c r="A17" s="328"/>
      <c r="B17" s="335"/>
      <c r="C17" s="339"/>
      <c r="D17" s="340"/>
      <c r="E17" s="341"/>
      <c r="F17" s="337"/>
      <c r="G17" s="342"/>
      <c r="H17" s="338"/>
    </row>
    <row r="18" spans="1:9" ht="21.75" customHeight="1">
      <c r="A18" s="328"/>
      <c r="B18" s="335"/>
      <c r="C18" s="339"/>
      <c r="D18" s="340"/>
      <c r="E18" s="341"/>
      <c r="F18" s="337"/>
      <c r="G18" s="342"/>
      <c r="H18" s="338"/>
    </row>
    <row r="19" spans="1:9" ht="19.5" customHeight="1">
      <c r="A19" s="343"/>
      <c r="B19" s="328"/>
      <c r="C19" s="344"/>
      <c r="D19" s="344"/>
      <c r="E19" s="345"/>
      <c r="F19" s="346"/>
      <c r="G19" s="347"/>
      <c r="H19" s="347"/>
    </row>
    <row r="20" spans="1:9" ht="19.5" customHeight="1">
      <c r="A20" s="348"/>
      <c r="B20" s="348"/>
      <c r="C20" s="378"/>
      <c r="D20" s="378"/>
      <c r="E20" s="378"/>
      <c r="F20" s="378"/>
      <c r="G20" s="349"/>
      <c r="H20" s="348"/>
    </row>
    <row r="21" spans="1:9" ht="19.5" customHeight="1">
      <c r="A21" s="348"/>
      <c r="B21" s="348"/>
      <c r="C21" s="350"/>
      <c r="D21" s="350"/>
      <c r="E21" s="350"/>
      <c r="F21" s="350"/>
      <c r="G21" s="349"/>
      <c r="H21" s="348"/>
    </row>
    <row r="22" spans="1:9" ht="19.5" customHeight="1">
      <c r="A22" s="379"/>
      <c r="B22" s="379"/>
      <c r="C22" s="379"/>
      <c r="D22" s="379"/>
      <c r="E22" s="379"/>
      <c r="F22" s="379"/>
      <c r="G22" s="379"/>
      <c r="H22" s="379"/>
      <c r="I22" s="379"/>
    </row>
    <row r="23" spans="1:9" ht="19.5" customHeight="1">
      <c r="A23" s="343"/>
      <c r="B23" s="328"/>
      <c r="C23" s="379"/>
      <c r="D23" s="379"/>
      <c r="E23" s="379"/>
      <c r="F23" s="379"/>
      <c r="G23" s="347"/>
      <c r="H23" s="347"/>
    </row>
    <row r="24" spans="1:9" ht="19.5" customHeight="1">
      <c r="A24" s="343"/>
      <c r="B24" s="343"/>
      <c r="C24" s="351"/>
      <c r="D24" s="352"/>
      <c r="E24" s="353"/>
      <c r="F24" s="343"/>
      <c r="G24" s="354"/>
      <c r="H24" s="354"/>
    </row>
    <row r="25" spans="1:9" ht="19.5" customHeight="1">
      <c r="A25" s="379"/>
      <c r="B25" s="379"/>
      <c r="C25" s="379"/>
      <c r="D25" s="379"/>
      <c r="E25" s="379"/>
      <c r="F25" s="379"/>
      <c r="G25" s="379"/>
      <c r="H25" s="379"/>
      <c r="I25" s="379"/>
    </row>
    <row r="26" spans="1:9" ht="19.5" customHeight="1">
      <c r="A26" s="343"/>
      <c r="B26" s="343"/>
      <c r="E26" s="355"/>
      <c r="F26" s="343"/>
      <c r="G26" s="354"/>
      <c r="H26" s="354"/>
    </row>
    <row r="27" spans="1:9" ht="19.5" customHeight="1">
      <c r="A27" s="343"/>
      <c r="B27" s="343"/>
      <c r="E27" s="356"/>
      <c r="F27" s="343"/>
      <c r="G27" s="354"/>
      <c r="H27" s="354"/>
    </row>
    <row r="28" spans="1:9" ht="19.5" customHeight="1">
      <c r="A28" s="343"/>
      <c r="B28" s="343"/>
      <c r="C28" s="380"/>
      <c r="D28" s="380"/>
      <c r="E28" s="356"/>
      <c r="F28" s="343"/>
      <c r="G28" s="354"/>
      <c r="H28" s="354"/>
    </row>
    <row r="29" spans="1:9" ht="19.5" customHeight="1">
      <c r="A29" s="343"/>
      <c r="B29" s="343"/>
      <c r="C29" s="380"/>
      <c r="D29" s="380"/>
      <c r="E29" s="343"/>
      <c r="F29" s="343"/>
      <c r="G29" s="354"/>
      <c r="H29" s="354"/>
    </row>
    <row r="30" spans="1:9" ht="25.5" customHeight="1">
      <c r="C30" s="380" t="s">
        <v>7</v>
      </c>
      <c r="D30" s="380"/>
    </row>
    <row r="31" spans="1:9" ht="25.5" customHeight="1">
      <c r="A31" s="357"/>
      <c r="B31" s="357"/>
      <c r="C31" s="380" t="s">
        <v>8</v>
      </c>
      <c r="D31" s="380"/>
      <c r="E31" s="357"/>
      <c r="F31" s="357"/>
      <c r="G31" s="357"/>
      <c r="H31" s="357"/>
    </row>
    <row r="32" spans="1:9" ht="25.5" customHeight="1">
      <c r="C32" s="380" t="s">
        <v>9</v>
      </c>
      <c r="D32" s="380"/>
    </row>
    <row r="33" spans="1:9" ht="25.5" customHeight="1">
      <c r="C33" s="380" t="s">
        <v>10</v>
      </c>
      <c r="D33" s="380"/>
    </row>
    <row r="34" spans="1:9" ht="25.5" customHeight="1"/>
    <row r="39" spans="1:9" ht="34.5" customHeight="1">
      <c r="A39" s="381" t="s">
        <v>11</v>
      </c>
      <c r="B39" s="381"/>
      <c r="C39" s="381"/>
      <c r="D39" s="381"/>
      <c r="E39" s="381"/>
      <c r="F39" s="381"/>
      <c r="G39" s="381"/>
      <c r="H39" s="381"/>
      <c r="I39" s="381"/>
    </row>
  </sheetData>
  <mergeCells count="20">
    <mergeCell ref="C32:D32"/>
    <mergeCell ref="C33:D33"/>
    <mergeCell ref="A39:I39"/>
    <mergeCell ref="C6:F7"/>
    <mergeCell ref="A25:I25"/>
    <mergeCell ref="C28:D28"/>
    <mergeCell ref="C29:D29"/>
    <mergeCell ref="C30:D30"/>
    <mergeCell ref="C31:D31"/>
    <mergeCell ref="B14:C14"/>
    <mergeCell ref="D14:H14"/>
    <mergeCell ref="C20:F20"/>
    <mergeCell ref="A22:I22"/>
    <mergeCell ref="C23:F23"/>
    <mergeCell ref="B2:C2"/>
    <mergeCell ref="B3:C3"/>
    <mergeCell ref="B10:C10"/>
    <mergeCell ref="D10:H10"/>
    <mergeCell ref="B12:C12"/>
    <mergeCell ref="D12:H12"/>
  </mergeCells>
  <phoneticPr fontId="80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N45"/>
  <sheetViews>
    <sheetView workbookViewId="0">
      <selection activeCell="D4" sqref="D4"/>
    </sheetView>
  </sheetViews>
  <sheetFormatPr defaultColWidth="11.5" defaultRowHeight="20.100000000000001" customHeight="1"/>
  <cols>
    <col min="1" max="1" width="5.875" style="114" customWidth="1"/>
    <col min="2" max="2" width="11.5" style="114"/>
    <col min="3" max="3" width="18.375" style="114" customWidth="1"/>
    <col min="4" max="4" width="26.125" style="114" customWidth="1"/>
    <col min="5" max="5" width="9.375" style="114" customWidth="1"/>
    <col min="6" max="6" width="14.25" style="114" customWidth="1"/>
    <col min="7" max="8" width="11.5" style="114"/>
    <col min="9" max="9" width="14.125" style="114" customWidth="1"/>
    <col min="10" max="10" width="11.5" style="114"/>
    <col min="11" max="11" width="17.5" style="114" customWidth="1"/>
    <col min="12" max="12" width="25.875" style="114" customWidth="1"/>
    <col min="13" max="13" width="15.5" style="114" customWidth="1"/>
    <col min="14" max="28" width="11.5" style="114"/>
    <col min="29" max="29" width="25.25" style="114" customWidth="1"/>
    <col min="30" max="16384" width="11.5" style="114"/>
  </cols>
  <sheetData>
    <row r="1" spans="2:14" ht="20.100000000000001" customHeight="1">
      <c r="B1" s="383" t="s">
        <v>12</v>
      </c>
      <c r="C1" s="383"/>
      <c r="D1" s="383"/>
      <c r="E1" s="383"/>
      <c r="F1" s="383"/>
    </row>
    <row r="2" spans="2:14" ht="20.100000000000001" customHeight="1">
      <c r="B2" s="384" t="s">
        <v>13</v>
      </c>
      <c r="C2" s="384"/>
      <c r="D2" s="384"/>
      <c r="E2" s="384"/>
      <c r="F2" s="384"/>
      <c r="M2" s="114" t="s">
        <v>14</v>
      </c>
      <c r="N2" s="114" t="s">
        <v>15</v>
      </c>
    </row>
    <row r="3" spans="2:14" ht="20.100000000000001" customHeight="1">
      <c r="C3" s="111" t="s">
        <v>16</v>
      </c>
      <c r="D3" s="324">
        <v>40</v>
      </c>
      <c r="E3" s="239" t="s">
        <v>17</v>
      </c>
      <c r="J3" s="114" t="s">
        <v>18</v>
      </c>
      <c r="K3" s="114" t="s">
        <v>19</v>
      </c>
      <c r="L3" s="114" t="s">
        <v>20</v>
      </c>
      <c r="M3" s="326" t="s">
        <v>21</v>
      </c>
      <c r="N3" s="326" t="s">
        <v>22</v>
      </c>
    </row>
    <row r="4" spans="2:14" ht="20.100000000000001" customHeight="1">
      <c r="C4" s="111" t="s">
        <v>23</v>
      </c>
      <c r="D4" s="324" t="s">
        <v>24</v>
      </c>
      <c r="E4" s="239"/>
      <c r="I4" s="114" t="s">
        <v>25</v>
      </c>
      <c r="J4" s="114">
        <v>1.3</v>
      </c>
      <c r="K4" s="114">
        <v>1.45</v>
      </c>
      <c r="L4" s="114">
        <v>1.55</v>
      </c>
      <c r="M4" s="114">
        <v>1.5</v>
      </c>
      <c r="N4" s="114">
        <v>1.5</v>
      </c>
    </row>
    <row r="5" spans="2:14" ht="20.100000000000001" customHeight="1">
      <c r="C5" s="111" t="str">
        <f>IF(D4="Ⅰ类(300年)","风速V300=",IF(D4="Ⅱ(700年)","风速V700=","风速V1700="))</f>
        <v>风速V300=</v>
      </c>
      <c r="D5" s="114">
        <f>ROUND(IF(D4="Ⅰ类(300年)",D3*1.1789,IF(D4="Ⅱ(700年)",D3*1.2636,D3*1.3523)),1)</f>
        <v>47.2</v>
      </c>
      <c r="E5" s="239" t="s">
        <v>17</v>
      </c>
      <c r="I5" s="114" t="s">
        <v>26</v>
      </c>
      <c r="J5" s="114">
        <v>0.75</v>
      </c>
      <c r="K5" s="114">
        <v>0.85</v>
      </c>
      <c r="L5" s="114">
        <v>0.95</v>
      </c>
      <c r="M5" s="114">
        <v>1.5</v>
      </c>
      <c r="N5" s="114">
        <v>4</v>
      </c>
    </row>
    <row r="6" spans="2:14" ht="20.100000000000001" customHeight="1">
      <c r="B6" s="114" t="s">
        <v>27</v>
      </c>
      <c r="C6" s="111"/>
      <c r="E6" s="239"/>
      <c r="I6" s="114" t="s">
        <v>28</v>
      </c>
      <c r="J6" s="114">
        <v>0.95</v>
      </c>
      <c r="K6" s="114">
        <v>1.05</v>
      </c>
      <c r="L6" s="114">
        <v>1.1499999999999999</v>
      </c>
      <c r="M6" s="114">
        <v>1.5</v>
      </c>
      <c r="N6" s="114">
        <v>1.5</v>
      </c>
    </row>
    <row r="7" spans="2:14" ht="20.100000000000001" customHeight="1">
      <c r="C7" s="111" t="s">
        <v>29</v>
      </c>
      <c r="D7" s="114" t="s">
        <v>30</v>
      </c>
      <c r="E7" s="239">
        <f>(1+D19*E22*D24)^2</f>
        <v>1</v>
      </c>
    </row>
    <row r="8" spans="2:14" ht="20.100000000000001" customHeight="1">
      <c r="B8" s="324" t="s">
        <v>19</v>
      </c>
      <c r="C8" s="324" t="s">
        <v>26</v>
      </c>
      <c r="D8" s="114" t="s">
        <v>31</v>
      </c>
      <c r="E8" s="239">
        <f>IF(B8="B",VLOOKUP(C8,I4:L6,2,FALSE),IF(B8="C",VLOOKUP(C8,I4:L6,3,FALSE),IF(B8="D",VLOOKUP(C8,I4:L6,4,FALSE))))</f>
        <v>0.85</v>
      </c>
    </row>
    <row r="9" spans="2:14" ht="20.100000000000001" customHeight="1">
      <c r="C9" s="111"/>
      <c r="E9" s="239"/>
    </row>
    <row r="10" spans="2:14" ht="20.100000000000001" customHeight="1">
      <c r="C10" s="111"/>
      <c r="E10" s="239"/>
    </row>
    <row r="11" spans="2:14" ht="20.100000000000001" customHeight="1">
      <c r="C11" s="111"/>
      <c r="E11" s="239"/>
    </row>
    <row r="12" spans="2:14" ht="20.100000000000001" customHeight="1">
      <c r="C12" s="111"/>
      <c r="E12" s="239"/>
      <c r="I12" s="114" t="s">
        <v>32</v>
      </c>
      <c r="J12" s="326" t="s">
        <v>33</v>
      </c>
      <c r="K12" s="114" t="s">
        <v>34</v>
      </c>
    </row>
    <row r="13" spans="2:14" ht="20.100000000000001" customHeight="1">
      <c r="C13" s="111"/>
      <c r="E13" s="239"/>
      <c r="I13" s="114" t="s">
        <v>18</v>
      </c>
      <c r="J13" s="114">
        <v>7</v>
      </c>
      <c r="K13" s="114">
        <v>365.76</v>
      </c>
    </row>
    <row r="14" spans="2:14" ht="20.100000000000001" customHeight="1">
      <c r="C14" s="111"/>
      <c r="E14" s="239"/>
      <c r="I14" s="114" t="s">
        <v>19</v>
      </c>
      <c r="J14" s="114">
        <v>9.5</v>
      </c>
      <c r="K14" s="114">
        <v>274.32</v>
      </c>
    </row>
    <row r="15" spans="2:14" ht="20.100000000000001" customHeight="1">
      <c r="C15" s="111"/>
      <c r="E15" s="239"/>
      <c r="I15" s="114" t="s">
        <v>20</v>
      </c>
      <c r="J15" s="114">
        <v>11.5</v>
      </c>
      <c r="K15" s="114">
        <v>213.36</v>
      </c>
    </row>
    <row r="16" spans="2:14" ht="20.100000000000001" customHeight="1">
      <c r="B16" s="325" t="s">
        <v>15</v>
      </c>
      <c r="C16" s="111" t="s">
        <v>35</v>
      </c>
      <c r="D16" s="324">
        <v>0</v>
      </c>
      <c r="E16" s="239" t="s">
        <v>36</v>
      </c>
    </row>
    <row r="17" spans="2:14" ht="20.100000000000001" customHeight="1">
      <c r="C17" s="111" t="s">
        <v>37</v>
      </c>
      <c r="D17" s="324">
        <v>1</v>
      </c>
      <c r="E17" s="239" t="s">
        <v>36</v>
      </c>
    </row>
    <row r="18" spans="2:14" ht="20.100000000000001" customHeight="1">
      <c r="C18" s="111" t="s">
        <v>38</v>
      </c>
      <c r="D18" s="114">
        <f>D16/D17</f>
        <v>0</v>
      </c>
      <c r="E18" s="239"/>
    </row>
    <row r="19" spans="2:14" ht="20.100000000000001" customHeight="1">
      <c r="C19" s="111" t="s">
        <v>39</v>
      </c>
      <c r="D19" s="114">
        <f>D18*E8</f>
        <v>0</v>
      </c>
      <c r="E19" s="239"/>
    </row>
    <row r="20" spans="2:14" ht="20.100000000000001" customHeight="1">
      <c r="C20" s="111" t="s">
        <v>40</v>
      </c>
      <c r="D20" s="324">
        <v>0</v>
      </c>
      <c r="E20" s="239" t="s">
        <v>36</v>
      </c>
    </row>
    <row r="21" spans="2:14" ht="20.100000000000001" customHeight="1">
      <c r="C21" s="111" t="s">
        <v>41</v>
      </c>
      <c r="D21" s="114">
        <f>IF(B16="Upwind of Crest",VLOOKUP(C8,I4:N6,5,FALSE),IF(B16="Downwind of Crest",VLOOKUP(C8,I4:N6,6,FALSE)))</f>
        <v>4</v>
      </c>
      <c r="E21" s="239"/>
    </row>
    <row r="22" spans="2:14" ht="20.100000000000001" customHeight="1">
      <c r="C22" s="111" t="s">
        <v>42</v>
      </c>
      <c r="D22" s="114" t="s">
        <v>43</v>
      </c>
      <c r="E22" s="239">
        <f>1-(D20/D21/D17)</f>
        <v>1</v>
      </c>
    </row>
    <row r="23" spans="2:14" ht="20.100000000000001" customHeight="1">
      <c r="C23" s="111" t="s">
        <v>44</v>
      </c>
      <c r="D23" s="324">
        <v>0</v>
      </c>
      <c r="E23" s="239" t="s">
        <v>36</v>
      </c>
    </row>
    <row r="24" spans="2:14" ht="20.100000000000001" customHeight="1">
      <c r="C24" s="111" t="s">
        <v>45</v>
      </c>
      <c r="D24" s="114">
        <f>2.71828^(-D23/D17)</f>
        <v>1</v>
      </c>
      <c r="E24" s="239"/>
    </row>
    <row r="25" spans="2:14" ht="20.100000000000001" customHeight="1">
      <c r="B25" s="114" t="s">
        <v>46</v>
      </c>
      <c r="C25" s="111"/>
      <c r="E25" s="239"/>
      <c r="H25" s="326"/>
    </row>
    <row r="26" spans="2:14" ht="20.100000000000001" customHeight="1">
      <c r="C26" s="111" t="s">
        <v>47</v>
      </c>
      <c r="D26" s="114">
        <v>0.85</v>
      </c>
      <c r="E26" s="239"/>
      <c r="N26" s="326"/>
    </row>
    <row r="27" spans="2:14" ht="20.100000000000001" customHeight="1">
      <c r="B27" s="239" t="s">
        <v>48</v>
      </c>
      <c r="C27" s="111"/>
      <c r="E27" s="239"/>
    </row>
    <row r="28" spans="2:14" ht="20.100000000000001" customHeight="1">
      <c r="B28" s="239"/>
      <c r="C28" s="111" t="s">
        <v>49</v>
      </c>
      <c r="D28" s="324">
        <v>1</v>
      </c>
      <c r="E28" s="239" t="s">
        <v>36</v>
      </c>
    </row>
    <row r="29" spans="2:14" ht="20.100000000000001" customHeight="1">
      <c r="B29" s="239"/>
      <c r="C29" s="327" t="s">
        <v>50</v>
      </c>
      <c r="D29" s="114">
        <f>VLOOKUP(B8,I13:K15,2,FALSE)</f>
        <v>9.5</v>
      </c>
      <c r="E29" s="239"/>
    </row>
    <row r="30" spans="2:14" ht="20.100000000000001" customHeight="1">
      <c r="B30" s="239"/>
      <c r="C30" s="111" t="s">
        <v>51</v>
      </c>
      <c r="D30" s="114">
        <f>VLOOKUP(B8,I13:K15,3,FALSE)</f>
        <v>274.32</v>
      </c>
      <c r="E30" s="239" t="s">
        <v>36</v>
      </c>
    </row>
    <row r="31" spans="2:14" ht="20.100000000000001" customHeight="1">
      <c r="B31" s="239"/>
      <c r="C31" s="111" t="s">
        <v>52</v>
      </c>
      <c r="D31" s="114" t="str">
        <f>IF(D28&gt;4.6,"2.01(z∕zg)2∕α=","2.01(15∕zg)2∕α")</f>
        <v>2.01(15∕zg)2∕α</v>
      </c>
      <c r="E31" s="239">
        <f>ROUND(IF(D28&gt;4.6,2.01*(D28/D30)^(2/D29),2.01*(4.6/D30)^(2/D29)),2)</f>
        <v>0.85</v>
      </c>
    </row>
    <row r="32" spans="2:14" ht="20.100000000000001" customHeight="1">
      <c r="B32" s="239" t="s">
        <v>53</v>
      </c>
      <c r="C32" s="111"/>
      <c r="E32" s="239"/>
    </row>
    <row r="33" spans="2:6" ht="20.100000000000001" customHeight="1">
      <c r="B33" s="239"/>
      <c r="C33" s="111" t="s">
        <v>54</v>
      </c>
      <c r="D33" s="114">
        <v>1</v>
      </c>
      <c r="E33" s="239"/>
    </row>
    <row r="34" spans="2:6" ht="20.100000000000001" customHeight="1">
      <c r="B34" s="239" t="s">
        <v>55</v>
      </c>
      <c r="C34" s="111"/>
      <c r="E34" s="239"/>
    </row>
    <row r="35" spans="2:6" ht="20.100000000000001" customHeight="1">
      <c r="B35" s="239"/>
      <c r="C35" s="111" t="s">
        <v>56</v>
      </c>
      <c r="D35" s="358" t="s">
        <v>57</v>
      </c>
      <c r="E35" s="239">
        <f>ROUND(0.613*E31*E7*D26*D33*D5^2,0)</f>
        <v>987</v>
      </c>
      <c r="F35" s="239" t="s">
        <v>58</v>
      </c>
    </row>
    <row r="36" spans="2:6" ht="20.100000000000001" customHeight="1">
      <c r="B36" s="239" t="s">
        <v>59</v>
      </c>
      <c r="C36" s="111"/>
      <c r="E36" s="239"/>
    </row>
    <row r="37" spans="2:6" ht="20.100000000000001" customHeight="1">
      <c r="B37" s="239"/>
      <c r="C37" s="111" t="s">
        <v>60</v>
      </c>
      <c r="D37" s="324">
        <v>0.85</v>
      </c>
      <c r="E37" s="239"/>
    </row>
    <row r="38" spans="2:6" ht="20.100000000000001" customHeight="1">
      <c r="B38" s="239" t="s">
        <v>61</v>
      </c>
      <c r="C38" s="111"/>
      <c r="E38" s="239"/>
    </row>
    <row r="39" spans="2:6" ht="20.100000000000001" customHeight="1">
      <c r="B39" s="239"/>
      <c r="C39" s="111" t="s">
        <v>62</v>
      </c>
      <c r="D39" s="114">
        <f>E35*D37</f>
        <v>838.95</v>
      </c>
      <c r="E39" s="239"/>
    </row>
    <row r="40" spans="2:6" ht="20.100000000000001" customHeight="1">
      <c r="B40" s="239" t="s">
        <v>63</v>
      </c>
      <c r="C40" s="111"/>
      <c r="E40" s="239"/>
    </row>
    <row r="41" spans="2:6" ht="20.100000000000001" customHeight="1">
      <c r="B41" s="239"/>
      <c r="C41" s="111"/>
      <c r="E41" s="239"/>
    </row>
    <row r="42" spans="2:6" ht="20.100000000000001" customHeight="1">
      <c r="B42" s="239"/>
      <c r="C42" s="111"/>
      <c r="E42" s="239"/>
    </row>
    <row r="43" spans="2:6" ht="20.100000000000001" customHeight="1">
      <c r="C43" s="111"/>
      <c r="E43" s="239"/>
    </row>
    <row r="44" spans="2:6" ht="20.100000000000001" customHeight="1">
      <c r="C44" s="111"/>
      <c r="E44" s="239"/>
    </row>
    <row r="45" spans="2:6" ht="20.100000000000001" customHeight="1">
      <c r="C45" s="111"/>
      <c r="E45" s="239"/>
    </row>
  </sheetData>
  <sheetProtection password="CE28" sheet="1" objects="1" scenarios="1"/>
  <mergeCells count="2">
    <mergeCell ref="B1:F1"/>
    <mergeCell ref="B2:F2"/>
  </mergeCells>
  <phoneticPr fontId="80" type="noConversion"/>
  <dataValidations count="4">
    <dataValidation type="list" allowBlank="1" showInputMessage="1" showErrorMessage="1" sqref="D4" xr:uid="{00000000-0002-0000-0100-000000000000}">
      <formula1>"Ⅰ类(300年),Ⅱ(700年),Ⅲ(1700年),"</formula1>
    </dataValidation>
    <dataValidation type="list" allowBlank="1" showInputMessage="1" showErrorMessage="1" sqref="B8" xr:uid="{00000000-0002-0000-0100-000001000000}">
      <formula1>$J$3:$L$3</formula1>
    </dataValidation>
    <dataValidation type="list" allowBlank="1" showInputMessage="1" showErrorMessage="1" sqref="C8" xr:uid="{00000000-0002-0000-0100-000002000000}">
      <formula1>$I$4:$I$6</formula1>
    </dataValidation>
    <dataValidation type="list" allowBlank="1" showInputMessage="1" showErrorMessage="1" sqref="B16" xr:uid="{00000000-0002-0000-0100-000003000000}">
      <formula1>$M$2:$N$2</formula1>
    </dataValidation>
  </dataValidations>
  <pageMargins left="0.25" right="0.25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C418"/>
  <sheetViews>
    <sheetView showGridLines="0" workbookViewId="0">
      <selection activeCell="D97" sqref="D97"/>
    </sheetView>
  </sheetViews>
  <sheetFormatPr defaultColWidth="11.25" defaultRowHeight="26.1" customHeight="1"/>
  <cols>
    <col min="1" max="1" width="32.375" style="263" customWidth="1"/>
    <col min="2" max="2" width="12.625" style="263" customWidth="1"/>
    <col min="3" max="6" width="8.625" style="263" customWidth="1"/>
    <col min="7" max="7" width="10.125" style="263" customWidth="1"/>
    <col min="8" max="8" width="7.25" style="263" customWidth="1"/>
    <col min="9" max="9" width="11.125" style="263" customWidth="1"/>
    <col min="10" max="10" width="15.5" style="263" customWidth="1"/>
    <col min="11" max="12" width="8.125" style="263" customWidth="1"/>
    <col min="13" max="13" width="11" style="263" customWidth="1"/>
    <col min="14" max="14" width="11.75" style="263" customWidth="1"/>
    <col min="15" max="15" width="8.125" style="263" customWidth="1"/>
    <col min="16" max="17" width="8.125" style="263" hidden="1" customWidth="1"/>
    <col min="18" max="18" width="8.125" style="264" hidden="1" customWidth="1"/>
    <col min="19" max="25" width="8.125" style="263" hidden="1" customWidth="1"/>
    <col min="26" max="26" width="8.125" style="264" hidden="1" customWidth="1"/>
    <col min="27" max="27" width="12" style="263" customWidth="1"/>
    <col min="28" max="32" width="8.125" style="263" customWidth="1"/>
    <col min="33" max="33" width="8.125" style="263" hidden="1" customWidth="1"/>
    <col min="34" max="34" width="10.375" style="263" hidden="1" customWidth="1"/>
    <col min="35" max="43" width="8.125" style="263" hidden="1" customWidth="1"/>
    <col min="44" max="80" width="11.25" style="263" hidden="1" customWidth="1"/>
    <col min="81" max="16384" width="11.25" style="263"/>
  </cols>
  <sheetData>
    <row r="1" spans="1:81" ht="34.5" customHeight="1">
      <c r="A1" s="362" t="s">
        <v>64</v>
      </c>
      <c r="B1" s="362"/>
      <c r="C1" s="362"/>
      <c r="D1" s="362"/>
      <c r="E1" s="362"/>
      <c r="F1" s="362"/>
      <c r="G1" s="362"/>
      <c r="H1" s="362"/>
      <c r="I1" s="265"/>
      <c r="J1" s="385" t="s">
        <v>65</v>
      </c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06">
        <v>7</v>
      </c>
      <c r="AH1" s="306">
        <v>8</v>
      </c>
      <c r="AI1" s="306">
        <v>9</v>
      </c>
      <c r="AJ1" s="306">
        <v>10</v>
      </c>
      <c r="AK1" s="306">
        <v>11</v>
      </c>
      <c r="AL1" s="306">
        <v>12</v>
      </c>
      <c r="AM1" s="306">
        <v>13</v>
      </c>
      <c r="AN1" s="306">
        <v>14</v>
      </c>
      <c r="AO1" s="306">
        <v>15</v>
      </c>
      <c r="AP1" s="306">
        <v>16</v>
      </c>
      <c r="AQ1" s="306">
        <v>17</v>
      </c>
      <c r="AR1" s="306">
        <v>18</v>
      </c>
      <c r="AS1" s="306">
        <v>19</v>
      </c>
      <c r="AT1" s="306">
        <v>20</v>
      </c>
      <c r="AU1" s="306">
        <v>21</v>
      </c>
      <c r="AV1" s="306">
        <v>22</v>
      </c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/>
      <c r="BW1" s="306"/>
      <c r="BX1" s="306"/>
      <c r="BY1" s="306"/>
      <c r="BZ1" s="306"/>
      <c r="CA1" s="306"/>
      <c r="CB1" s="306"/>
      <c r="CC1" s="306"/>
    </row>
    <row r="2" spans="1:81" ht="26.1" customHeight="1">
      <c r="A2" s="265"/>
      <c r="B2" s="265"/>
      <c r="C2" s="265"/>
      <c r="D2" s="265"/>
      <c r="E2" s="265"/>
      <c r="F2" s="265"/>
      <c r="G2" s="265"/>
      <c r="H2" s="265"/>
      <c r="I2" s="265"/>
      <c r="J2" s="263">
        <v>1</v>
      </c>
      <c r="K2" s="263">
        <v>2</v>
      </c>
      <c r="L2" s="263">
        <v>3</v>
      </c>
      <c r="M2" s="263">
        <v>4</v>
      </c>
      <c r="N2" s="263">
        <v>5</v>
      </c>
      <c r="O2" s="263">
        <v>6</v>
      </c>
      <c r="P2" s="263">
        <v>7</v>
      </c>
      <c r="Q2" s="263">
        <v>8</v>
      </c>
      <c r="R2" s="264">
        <v>9</v>
      </c>
      <c r="S2" s="263">
        <v>10</v>
      </c>
      <c r="T2" s="263">
        <v>11</v>
      </c>
      <c r="U2" s="263">
        <v>12</v>
      </c>
      <c r="V2" s="263">
        <v>13</v>
      </c>
      <c r="W2" s="263">
        <v>14</v>
      </c>
      <c r="X2" s="263">
        <v>15</v>
      </c>
      <c r="Y2" s="263">
        <v>16</v>
      </c>
      <c r="Z2" s="264">
        <v>17</v>
      </c>
      <c r="AA2" s="263">
        <v>1</v>
      </c>
      <c r="AB2" s="263">
        <v>2</v>
      </c>
      <c r="AC2" s="263">
        <v>3</v>
      </c>
      <c r="AD2" s="263">
        <v>4</v>
      </c>
      <c r="AE2" s="263">
        <v>5</v>
      </c>
      <c r="AF2" s="263">
        <v>6</v>
      </c>
    </row>
    <row r="3" spans="1:81" ht="26.1" customHeight="1">
      <c r="A3" s="266" t="s">
        <v>66</v>
      </c>
      <c r="J3" s="263" t="s">
        <v>67</v>
      </c>
      <c r="K3" s="263" t="s">
        <v>68</v>
      </c>
      <c r="AA3" s="263" t="s">
        <v>69</v>
      </c>
      <c r="AB3" s="263" t="s">
        <v>68</v>
      </c>
      <c r="AM3" s="269"/>
      <c r="AN3" s="269"/>
      <c r="AO3" s="269"/>
      <c r="AP3" s="269"/>
    </row>
    <row r="4" spans="1:81" ht="26.1" customHeight="1">
      <c r="A4" s="267" t="s">
        <v>70</v>
      </c>
      <c r="B4" s="268">
        <v>18</v>
      </c>
      <c r="C4" s="269" t="s">
        <v>17</v>
      </c>
      <c r="E4" s="263" t="s">
        <v>71</v>
      </c>
      <c r="F4" s="270">
        <v>1</v>
      </c>
      <c r="J4" s="288" t="s">
        <v>72</v>
      </c>
      <c r="K4" s="288" t="s">
        <v>73</v>
      </c>
      <c r="L4" s="288" t="s">
        <v>74</v>
      </c>
      <c r="M4" s="288" t="s">
        <v>75</v>
      </c>
      <c r="P4" s="263" t="s">
        <v>76</v>
      </c>
      <c r="Q4" s="263" t="s">
        <v>77</v>
      </c>
      <c r="R4" s="264" t="s">
        <v>78</v>
      </c>
      <c r="S4" s="263" t="s">
        <v>79</v>
      </c>
      <c r="T4" s="263" t="s">
        <v>80</v>
      </c>
      <c r="U4" s="263" t="s">
        <v>81</v>
      </c>
      <c r="V4" s="263" t="s">
        <v>82</v>
      </c>
      <c r="AA4" s="288" t="s">
        <v>72</v>
      </c>
      <c r="AB4" s="288" t="s">
        <v>73</v>
      </c>
      <c r="AC4" s="288" t="s">
        <v>83</v>
      </c>
      <c r="AD4" s="288" t="s">
        <v>84</v>
      </c>
      <c r="AE4" s="288" t="s">
        <v>75</v>
      </c>
      <c r="AF4" s="288" t="s">
        <v>85</v>
      </c>
      <c r="AK4" s="263" t="s">
        <v>76</v>
      </c>
      <c r="AL4" s="263" t="s">
        <v>77</v>
      </c>
      <c r="AM4" s="263" t="s">
        <v>78</v>
      </c>
      <c r="AN4" s="263" t="s">
        <v>79</v>
      </c>
      <c r="AO4" s="263" t="s">
        <v>80</v>
      </c>
      <c r="AP4" s="263" t="s">
        <v>81</v>
      </c>
      <c r="AQ4" s="263" t="s">
        <v>86</v>
      </c>
      <c r="AR4" s="263" t="s">
        <v>87</v>
      </c>
      <c r="AS4" s="263" t="s">
        <v>88</v>
      </c>
      <c r="AT4" s="263" t="s">
        <v>89</v>
      </c>
      <c r="AU4" s="263" t="s">
        <v>90</v>
      </c>
      <c r="AV4" s="263" t="s">
        <v>91</v>
      </c>
    </row>
    <row r="5" spans="1:81" ht="26.1" customHeight="1">
      <c r="A5" s="267" t="s">
        <v>92</v>
      </c>
      <c r="B5" s="268">
        <v>23.4</v>
      </c>
      <c r="C5" s="269" t="s">
        <v>17</v>
      </c>
      <c r="J5" s="272" t="str">
        <f t="shared" ref="J5:J12" si="0">IF(L5="","","φ"&amp;L5&amp;"*"&amp;M5)</f>
        <v>φ140*3</v>
      </c>
      <c r="K5" s="270" t="s">
        <v>93</v>
      </c>
      <c r="L5" s="270">
        <v>140</v>
      </c>
      <c r="M5" s="270">
        <v>3</v>
      </c>
      <c r="P5" s="263">
        <f>ROUND(Q5*1000*0.00000785*10/1000,4)</f>
        <v>0.1014</v>
      </c>
      <c r="Q5" s="263">
        <f t="shared" ref="Q5:Q12" si="1">ROUND((L5^2-(L5-2*M5)^2)*PI()/4,2)</f>
        <v>1291.19</v>
      </c>
      <c r="R5" s="264">
        <f t="shared" ref="R5:R12" si="2">ROUND((L5^4-(L5-2*M5)^4)*PI()/64,2)</f>
        <v>3030756.48</v>
      </c>
      <c r="S5" s="263">
        <f t="shared" ref="S5:S12" si="3">ROUND((L5^4-(L5-2*M5)^4)*PI()/64,2)</f>
        <v>3030756.48</v>
      </c>
      <c r="T5" s="263">
        <f t="shared" ref="T5:T12" si="4">ROUND(PI()*L5^3*(1-((L5-2*M5)/L5)^4)/32,2)</f>
        <v>43296.52</v>
      </c>
      <c r="U5" s="263">
        <f t="shared" ref="U5:U12" si="5">ROUND(PI()*L5^3*(1-((L5-2*M5)/L5)^4)/32,2)</f>
        <v>43296.52</v>
      </c>
      <c r="V5" s="263">
        <f>L5/1000*$B$233</f>
        <v>0.32200000000000001</v>
      </c>
      <c r="AA5" s="272" t="str">
        <f t="shared" ref="AA5:AA12" si="6">IF(AC5="","","F"&amp;AC5&amp;"*"&amp;AD5&amp;"*"&amp;AE5)</f>
        <v>F120*120*3</v>
      </c>
      <c r="AB5" s="270" t="s">
        <v>93</v>
      </c>
      <c r="AC5" s="270">
        <v>120</v>
      </c>
      <c r="AD5" s="270">
        <v>120</v>
      </c>
      <c r="AE5" s="270">
        <v>3</v>
      </c>
      <c r="AF5" s="270">
        <v>3</v>
      </c>
      <c r="AK5" s="263">
        <f>ROUND(AL5*1000*0.00000785*10/1000,4)</f>
        <v>0.11020000000000001</v>
      </c>
      <c r="AL5" s="263">
        <f t="shared" ref="AL5:AL12" si="7">AC5*AD5-(AC5-2*AE5)*(AD5-2*AE5)</f>
        <v>1404</v>
      </c>
      <c r="AM5" s="263">
        <f t="shared" ref="AM5:AM12" si="8">ROUND((AD5*AC5^3-(AD5-2*AE5)*(AC5-2*AE5)^3)/12,2)</f>
        <v>3205332</v>
      </c>
      <c r="AN5" s="263">
        <f t="shared" ref="AN5:AN12" si="9">ROUND((AD5^3*AC5-(AD5-2*AE5)^3*(AC5-2*AE5))/12,2)</f>
        <v>3205332</v>
      </c>
      <c r="AO5" s="263">
        <f t="shared" ref="AO5:AO12" si="10">ROUND((AD5*AC5^3-(AD5-2*AE5)*(AC5-2*AE5)^3)/6/AC5,2)</f>
        <v>53422.2</v>
      </c>
      <c r="AP5" s="263">
        <f t="shared" ref="AP5:AP12" si="11">ROUND((AD5^3*AC5-(AD5-2*AE5)^3*(AC5-2*AE5))/6/AD5,2)</f>
        <v>53422.2</v>
      </c>
      <c r="AQ5" s="263">
        <f>0.563/(AC5-AE5)/AE5</f>
        <v>1.6039886039886E-3</v>
      </c>
      <c r="AR5" s="263">
        <f>0.5*AC5/AE5/(AC5-AE5)^3</f>
        <v>1.2487411128655901E-5</v>
      </c>
      <c r="AS5" s="263" t="str">
        <f>MID(AB5,2,3)</f>
        <v>355</v>
      </c>
      <c r="AT5" s="263">
        <f>(AC5-AE5*2-AF5*2)/AE5</f>
        <v>36</v>
      </c>
      <c r="AU5" s="263">
        <f>ROUND(IF(AT5&lt;660/SQRT(AS5/1.111),AS5/1.111,(1-(SQRT((AS5/1.111))*AT5)*0.000448)*1.42*((AS5/1.111))),0)</f>
        <v>320</v>
      </c>
      <c r="AV5" s="263">
        <f>AD5/1000*$B$233</f>
        <v>0.27600000000000002</v>
      </c>
    </row>
    <row r="6" spans="1:81" ht="26.1" customHeight="1">
      <c r="A6" s="267" t="s">
        <v>94</v>
      </c>
      <c r="B6" s="268">
        <v>64</v>
      </c>
      <c r="C6" s="271" t="s">
        <v>95</v>
      </c>
      <c r="J6" s="272" t="str">
        <f t="shared" si="0"/>
        <v>φ150*5</v>
      </c>
      <c r="K6" s="270" t="s">
        <v>93</v>
      </c>
      <c r="L6" s="270">
        <v>150</v>
      </c>
      <c r="M6" s="270">
        <v>5</v>
      </c>
      <c r="P6" s="263">
        <f t="shared" ref="P6:P12" si="12">ROUND(Q6*1000*0.00000785*10/1000,4)</f>
        <v>0.17879999999999999</v>
      </c>
      <c r="Q6" s="263">
        <f t="shared" si="1"/>
        <v>2277.65</v>
      </c>
      <c r="R6" s="264">
        <f t="shared" si="2"/>
        <v>5993078.8600000003</v>
      </c>
      <c r="S6" s="263">
        <f t="shared" si="3"/>
        <v>5993078.8600000003</v>
      </c>
      <c r="T6" s="263">
        <f t="shared" si="4"/>
        <v>79907.72</v>
      </c>
      <c r="U6" s="263">
        <f t="shared" si="5"/>
        <v>79907.72</v>
      </c>
      <c r="V6" s="263">
        <f t="shared" ref="V6:V12" si="13">L6/1000*$B$233</f>
        <v>0.34499999999999997</v>
      </c>
      <c r="AA6" s="272" t="str">
        <f t="shared" si="6"/>
        <v>F140*140*5</v>
      </c>
      <c r="AB6" s="270" t="s">
        <v>96</v>
      </c>
      <c r="AC6" s="270">
        <v>140</v>
      </c>
      <c r="AD6" s="270">
        <v>140</v>
      </c>
      <c r="AE6" s="270">
        <v>5</v>
      </c>
      <c r="AF6" s="270">
        <v>6</v>
      </c>
      <c r="AK6" s="263">
        <f t="shared" ref="AK6:AK12" si="14">ROUND(AL6*1000*0.00000785*10/1000,4)</f>
        <v>0.21199999999999999</v>
      </c>
      <c r="AL6" s="263">
        <f t="shared" si="7"/>
        <v>2700</v>
      </c>
      <c r="AM6" s="263">
        <f t="shared" si="8"/>
        <v>8212500</v>
      </c>
      <c r="AN6" s="263">
        <f t="shared" si="9"/>
        <v>8212500</v>
      </c>
      <c r="AO6" s="263">
        <f t="shared" si="10"/>
        <v>117321.43</v>
      </c>
      <c r="AP6" s="263">
        <f t="shared" si="11"/>
        <v>117321.43</v>
      </c>
      <c r="AQ6" s="263">
        <f t="shared" ref="AQ6:AQ12" si="15">0.563/(AC6-AE6)/AE6</f>
        <v>8.3407407407407399E-4</v>
      </c>
      <c r="AR6" s="263">
        <f t="shared" ref="AR6:AR12" si="16">0.5*AC6/AE6/(AC6-AE6)^3</f>
        <v>5.6901895036325802E-6</v>
      </c>
      <c r="AS6" s="263" t="str">
        <f t="shared" ref="AS6:AS12" si="17">MID(AB6,2,3)</f>
        <v>420</v>
      </c>
      <c r="AT6" s="263">
        <f t="shared" ref="AT6:AT12" si="18">(AC6-AE6*2-AF6*2)/AE6</f>
        <v>23.6</v>
      </c>
      <c r="AU6" s="263">
        <f t="shared" ref="AU6:AU12" si="19">ROUND(IF(AT6&lt;660/SQRT(AS6/1.111),AS6/1.111,(1-(SQRT((AS6/1.111))*AT6)*0.000448)*1.42*((AS6/1.111))),0)</f>
        <v>378</v>
      </c>
      <c r="AV6" s="263">
        <f t="shared" ref="AV6:AV12" si="20">AD6/1000*$B$233</f>
        <v>0.32200000000000001</v>
      </c>
    </row>
    <row r="7" spans="1:81" ht="26.1" customHeight="1">
      <c r="A7" s="267" t="s">
        <v>97</v>
      </c>
      <c r="B7" s="268">
        <v>1.133</v>
      </c>
      <c r="C7" s="271" t="s">
        <v>36</v>
      </c>
      <c r="J7" s="272" t="str">
        <f t="shared" si="0"/>
        <v/>
      </c>
      <c r="K7" s="270"/>
      <c r="L7" s="270"/>
      <c r="M7" s="270"/>
      <c r="P7" s="263">
        <f t="shared" si="12"/>
        <v>0</v>
      </c>
      <c r="Q7" s="263">
        <f t="shared" si="1"/>
        <v>0</v>
      </c>
      <c r="R7" s="264">
        <f t="shared" si="2"/>
        <v>0</v>
      </c>
      <c r="S7" s="263">
        <f t="shared" si="3"/>
        <v>0</v>
      </c>
      <c r="T7" s="263" t="e">
        <f t="shared" si="4"/>
        <v>#DIV/0!</v>
      </c>
      <c r="U7" s="263" t="e">
        <f t="shared" si="5"/>
        <v>#DIV/0!</v>
      </c>
      <c r="V7" s="263">
        <f t="shared" si="13"/>
        <v>0</v>
      </c>
      <c r="AA7" s="272" t="str">
        <f t="shared" si="6"/>
        <v>F130*130*3</v>
      </c>
      <c r="AB7" s="270" t="s">
        <v>96</v>
      </c>
      <c r="AC7" s="270">
        <v>130</v>
      </c>
      <c r="AD7" s="270">
        <v>130</v>
      </c>
      <c r="AE7" s="270">
        <v>3</v>
      </c>
      <c r="AF7" s="270">
        <v>3</v>
      </c>
      <c r="AK7" s="263">
        <f t="shared" si="14"/>
        <v>0.1196</v>
      </c>
      <c r="AL7" s="263">
        <f t="shared" si="7"/>
        <v>1524</v>
      </c>
      <c r="AM7" s="263">
        <f t="shared" si="8"/>
        <v>4099052</v>
      </c>
      <c r="AN7" s="263">
        <f t="shared" si="9"/>
        <v>4099052</v>
      </c>
      <c r="AO7" s="263">
        <f t="shared" si="10"/>
        <v>63062.34</v>
      </c>
      <c r="AP7" s="263">
        <f t="shared" si="11"/>
        <v>63062.34</v>
      </c>
      <c r="AQ7" s="263">
        <f t="shared" si="15"/>
        <v>1.47769028871391E-3</v>
      </c>
      <c r="AR7" s="263">
        <f t="shared" si="16"/>
        <v>1.0577448976420301E-5</v>
      </c>
      <c r="AS7" s="263" t="str">
        <f t="shared" si="17"/>
        <v>420</v>
      </c>
      <c r="AT7" s="263">
        <f t="shared" si="18"/>
        <v>39.3333333333333</v>
      </c>
      <c r="AU7" s="263">
        <f t="shared" si="19"/>
        <v>353</v>
      </c>
      <c r="AV7" s="263">
        <f t="shared" si="20"/>
        <v>0.29899999999999999</v>
      </c>
    </row>
    <row r="8" spans="1:81" ht="26.1" customHeight="1">
      <c r="A8" s="267" t="s">
        <v>98</v>
      </c>
      <c r="B8" s="268">
        <v>4.57</v>
      </c>
      <c r="C8" s="271" t="s">
        <v>36</v>
      </c>
      <c r="J8" s="272" t="str">
        <f t="shared" si="0"/>
        <v/>
      </c>
      <c r="K8" s="270"/>
      <c r="L8" s="270"/>
      <c r="M8" s="270"/>
      <c r="P8" s="263">
        <f t="shared" si="12"/>
        <v>0</v>
      </c>
      <c r="Q8" s="263">
        <f t="shared" si="1"/>
        <v>0</v>
      </c>
      <c r="R8" s="264">
        <f t="shared" si="2"/>
        <v>0</v>
      </c>
      <c r="S8" s="263">
        <f t="shared" si="3"/>
        <v>0</v>
      </c>
      <c r="T8" s="263" t="e">
        <f t="shared" si="4"/>
        <v>#DIV/0!</v>
      </c>
      <c r="U8" s="263" t="e">
        <f t="shared" si="5"/>
        <v>#DIV/0!</v>
      </c>
      <c r="V8" s="263">
        <f t="shared" si="13"/>
        <v>0</v>
      </c>
      <c r="AA8" s="272" t="str">
        <f t="shared" si="6"/>
        <v>F130*130*2.75</v>
      </c>
      <c r="AB8" s="270" t="s">
        <v>93</v>
      </c>
      <c r="AC8" s="270">
        <v>130</v>
      </c>
      <c r="AD8" s="270">
        <v>130</v>
      </c>
      <c r="AE8" s="270">
        <v>2.75</v>
      </c>
      <c r="AF8" s="270">
        <v>3</v>
      </c>
      <c r="AK8" s="263">
        <f t="shared" si="14"/>
        <v>0.1099</v>
      </c>
      <c r="AL8" s="263">
        <f t="shared" si="7"/>
        <v>1399.75</v>
      </c>
      <c r="AM8" s="263">
        <f t="shared" si="8"/>
        <v>3779354.16</v>
      </c>
      <c r="AN8" s="263">
        <f t="shared" si="9"/>
        <v>3779354.16</v>
      </c>
      <c r="AO8" s="263">
        <f t="shared" si="10"/>
        <v>58143.91</v>
      </c>
      <c r="AP8" s="263">
        <f t="shared" si="11"/>
        <v>58143.91</v>
      </c>
      <c r="AQ8" s="263">
        <f t="shared" si="15"/>
        <v>1.6088587247722801E-3</v>
      </c>
      <c r="AR8" s="263">
        <f t="shared" si="16"/>
        <v>1.1471158743568901E-5</v>
      </c>
      <c r="AS8" s="263" t="str">
        <f t="shared" si="17"/>
        <v>355</v>
      </c>
      <c r="AT8" s="263">
        <f t="shared" si="18"/>
        <v>43.090909090909101</v>
      </c>
      <c r="AU8" s="263">
        <f t="shared" si="19"/>
        <v>297</v>
      </c>
      <c r="AV8" s="263">
        <f t="shared" si="20"/>
        <v>0.29899999999999999</v>
      </c>
    </row>
    <row r="9" spans="1:81" ht="26.1" customHeight="1">
      <c r="A9" s="267" t="s">
        <v>99</v>
      </c>
      <c r="B9" s="272">
        <f>B7*B8</f>
        <v>5.17781</v>
      </c>
      <c r="C9" s="271" t="s">
        <v>100</v>
      </c>
      <c r="J9" s="272" t="str">
        <f t="shared" si="0"/>
        <v/>
      </c>
      <c r="K9" s="270"/>
      <c r="L9" s="270"/>
      <c r="M9" s="270"/>
      <c r="P9" s="263">
        <f t="shared" si="12"/>
        <v>0</v>
      </c>
      <c r="Q9" s="263">
        <f t="shared" si="1"/>
        <v>0</v>
      </c>
      <c r="R9" s="264">
        <f t="shared" si="2"/>
        <v>0</v>
      </c>
      <c r="S9" s="263">
        <f t="shared" si="3"/>
        <v>0</v>
      </c>
      <c r="T9" s="263" t="e">
        <f t="shared" si="4"/>
        <v>#DIV/0!</v>
      </c>
      <c r="U9" s="263" t="e">
        <f t="shared" si="5"/>
        <v>#DIV/0!</v>
      </c>
      <c r="V9" s="263">
        <f t="shared" si="13"/>
        <v>0</v>
      </c>
      <c r="AA9" s="272" t="str">
        <f t="shared" si="6"/>
        <v>F140*140*2.5</v>
      </c>
      <c r="AB9" s="270" t="s">
        <v>96</v>
      </c>
      <c r="AC9" s="270">
        <v>140</v>
      </c>
      <c r="AD9" s="270">
        <v>140</v>
      </c>
      <c r="AE9" s="270">
        <v>2.5</v>
      </c>
      <c r="AF9" s="270">
        <v>3</v>
      </c>
      <c r="AK9" s="263">
        <f t="shared" si="14"/>
        <v>0.1079</v>
      </c>
      <c r="AL9" s="263">
        <f t="shared" si="7"/>
        <v>1375</v>
      </c>
      <c r="AM9" s="263">
        <f t="shared" si="8"/>
        <v>4334114.58</v>
      </c>
      <c r="AN9" s="263">
        <f t="shared" si="9"/>
        <v>4334114.58</v>
      </c>
      <c r="AO9" s="263">
        <f t="shared" si="10"/>
        <v>61915.92</v>
      </c>
      <c r="AP9" s="263">
        <f t="shared" si="11"/>
        <v>61915.92</v>
      </c>
      <c r="AQ9" s="263">
        <f t="shared" si="15"/>
        <v>1.63781818181818E-3</v>
      </c>
      <c r="AR9" s="263">
        <f t="shared" si="16"/>
        <v>1.0770848985725E-5</v>
      </c>
      <c r="AS9" s="263" t="str">
        <f t="shared" si="17"/>
        <v>420</v>
      </c>
      <c r="AT9" s="263">
        <f t="shared" si="18"/>
        <v>51.6</v>
      </c>
      <c r="AU9" s="263">
        <f t="shared" si="19"/>
        <v>296</v>
      </c>
      <c r="AV9" s="263">
        <f t="shared" si="20"/>
        <v>0.32200000000000001</v>
      </c>
    </row>
    <row r="10" spans="1:81" ht="26.1" customHeight="1">
      <c r="A10" s="266" t="s">
        <v>101</v>
      </c>
      <c r="B10" s="271"/>
      <c r="C10" s="271"/>
      <c r="J10" s="272" t="str">
        <f t="shared" si="0"/>
        <v/>
      </c>
      <c r="K10" s="270"/>
      <c r="L10" s="270"/>
      <c r="M10" s="270"/>
      <c r="P10" s="263">
        <f t="shared" si="12"/>
        <v>0</v>
      </c>
      <c r="Q10" s="263">
        <f t="shared" si="1"/>
        <v>0</v>
      </c>
      <c r="R10" s="264">
        <f t="shared" si="2"/>
        <v>0</v>
      </c>
      <c r="S10" s="263">
        <f t="shared" si="3"/>
        <v>0</v>
      </c>
      <c r="T10" s="263" t="e">
        <f t="shared" si="4"/>
        <v>#DIV/0!</v>
      </c>
      <c r="U10" s="263" t="e">
        <f t="shared" si="5"/>
        <v>#DIV/0!</v>
      </c>
      <c r="V10" s="263">
        <f t="shared" si="13"/>
        <v>0</v>
      </c>
      <c r="AA10" s="272" t="str">
        <f t="shared" si="6"/>
        <v>F140*140*3</v>
      </c>
      <c r="AB10" s="270" t="s">
        <v>96</v>
      </c>
      <c r="AC10" s="270">
        <v>140</v>
      </c>
      <c r="AD10" s="270">
        <v>140</v>
      </c>
      <c r="AE10" s="270">
        <v>3</v>
      </c>
      <c r="AF10" s="270">
        <v>3</v>
      </c>
      <c r="AK10" s="263">
        <f t="shared" si="14"/>
        <v>0.12909999999999999</v>
      </c>
      <c r="AL10" s="263">
        <f t="shared" si="7"/>
        <v>1644</v>
      </c>
      <c r="AM10" s="263">
        <f t="shared" si="8"/>
        <v>5145172</v>
      </c>
      <c r="AN10" s="263">
        <f t="shared" si="9"/>
        <v>5145172</v>
      </c>
      <c r="AO10" s="263">
        <f t="shared" si="10"/>
        <v>73502.460000000006</v>
      </c>
      <c r="AP10" s="263">
        <f t="shared" si="11"/>
        <v>73502.460000000006</v>
      </c>
      <c r="AQ10" s="263">
        <f t="shared" si="15"/>
        <v>1.3698296836982999E-3</v>
      </c>
      <c r="AR10" s="263">
        <f t="shared" si="16"/>
        <v>9.0743407588663804E-6</v>
      </c>
      <c r="AS10" s="263" t="str">
        <f t="shared" si="17"/>
        <v>420</v>
      </c>
      <c r="AT10" s="263">
        <f t="shared" si="18"/>
        <v>42.6666666666667</v>
      </c>
      <c r="AU10" s="263">
        <f t="shared" si="19"/>
        <v>337</v>
      </c>
      <c r="AV10" s="263">
        <f t="shared" si="20"/>
        <v>0.32200000000000001</v>
      </c>
    </row>
    <row r="11" spans="1:81" ht="26.1" customHeight="1">
      <c r="A11" s="291" t="s">
        <v>102</v>
      </c>
      <c r="C11" s="271"/>
      <c r="J11" s="272" t="str">
        <f t="shared" si="0"/>
        <v/>
      </c>
      <c r="K11" s="270"/>
      <c r="L11" s="270"/>
      <c r="M11" s="270"/>
      <c r="P11" s="263">
        <f t="shared" si="12"/>
        <v>0</v>
      </c>
      <c r="Q11" s="263">
        <f t="shared" si="1"/>
        <v>0</v>
      </c>
      <c r="R11" s="264">
        <f t="shared" si="2"/>
        <v>0</v>
      </c>
      <c r="S11" s="263">
        <f t="shared" si="3"/>
        <v>0</v>
      </c>
      <c r="T11" s="263" t="e">
        <f t="shared" si="4"/>
        <v>#DIV/0!</v>
      </c>
      <c r="U11" s="263" t="e">
        <f t="shared" si="5"/>
        <v>#DIV/0!</v>
      </c>
      <c r="V11" s="263">
        <f t="shared" si="13"/>
        <v>0</v>
      </c>
      <c r="AA11" s="272" t="str">
        <f t="shared" si="6"/>
        <v>F150*150*3</v>
      </c>
      <c r="AB11" s="270" t="s">
        <v>96</v>
      </c>
      <c r="AC11" s="270">
        <v>150</v>
      </c>
      <c r="AD11" s="270">
        <v>150</v>
      </c>
      <c r="AE11" s="270">
        <v>3</v>
      </c>
      <c r="AF11" s="270">
        <v>3</v>
      </c>
      <c r="AK11" s="263">
        <f t="shared" si="14"/>
        <v>0.13850000000000001</v>
      </c>
      <c r="AL11" s="263">
        <f t="shared" si="7"/>
        <v>1764</v>
      </c>
      <c r="AM11" s="263">
        <f t="shared" si="8"/>
        <v>6355692</v>
      </c>
      <c r="AN11" s="263">
        <f t="shared" si="9"/>
        <v>6355692</v>
      </c>
      <c r="AO11" s="263">
        <f t="shared" si="10"/>
        <v>84742.56</v>
      </c>
      <c r="AP11" s="263">
        <f t="shared" si="11"/>
        <v>84742.56</v>
      </c>
      <c r="AQ11" s="263">
        <f t="shared" si="15"/>
        <v>1.2766439909297101E-3</v>
      </c>
      <c r="AR11" s="263">
        <f t="shared" si="16"/>
        <v>7.8702405114019296E-6</v>
      </c>
      <c r="AS11" s="263" t="str">
        <f t="shared" si="17"/>
        <v>420</v>
      </c>
      <c r="AT11" s="263">
        <f t="shared" si="18"/>
        <v>46</v>
      </c>
      <c r="AU11" s="263">
        <f t="shared" si="19"/>
        <v>322</v>
      </c>
      <c r="AV11" s="263">
        <f t="shared" si="20"/>
        <v>0.34499999999999997</v>
      </c>
    </row>
    <row r="12" spans="1:81" ht="26.1" customHeight="1">
      <c r="A12" s="267" t="s">
        <v>103</v>
      </c>
      <c r="B12" s="268" t="s">
        <v>104</v>
      </c>
      <c r="J12" s="272" t="str">
        <f t="shared" si="0"/>
        <v/>
      </c>
      <c r="K12" s="270"/>
      <c r="L12" s="270"/>
      <c r="M12" s="270"/>
      <c r="P12" s="263">
        <f t="shared" si="12"/>
        <v>0</v>
      </c>
      <c r="Q12" s="263">
        <f t="shared" si="1"/>
        <v>0</v>
      </c>
      <c r="R12" s="264">
        <f t="shared" si="2"/>
        <v>0</v>
      </c>
      <c r="S12" s="263">
        <f t="shared" si="3"/>
        <v>0</v>
      </c>
      <c r="T12" s="263" t="e">
        <f t="shared" si="4"/>
        <v>#DIV/0!</v>
      </c>
      <c r="U12" s="263" t="e">
        <f t="shared" si="5"/>
        <v>#DIV/0!</v>
      </c>
      <c r="V12" s="263">
        <f t="shared" si="13"/>
        <v>0</v>
      </c>
      <c r="AA12" s="272" t="str">
        <f t="shared" si="6"/>
        <v/>
      </c>
      <c r="AB12" s="270"/>
      <c r="AC12" s="270"/>
      <c r="AD12" s="270"/>
      <c r="AE12" s="270"/>
      <c r="AF12" s="270"/>
      <c r="AK12" s="263">
        <f t="shared" si="14"/>
        <v>0</v>
      </c>
      <c r="AL12" s="263">
        <f t="shared" si="7"/>
        <v>0</v>
      </c>
      <c r="AM12" s="263">
        <f t="shared" si="8"/>
        <v>0</v>
      </c>
      <c r="AN12" s="263">
        <f t="shared" si="9"/>
        <v>0</v>
      </c>
      <c r="AO12" s="263" t="e">
        <f t="shared" si="10"/>
        <v>#DIV/0!</v>
      </c>
      <c r="AP12" s="263" t="e">
        <f t="shared" si="11"/>
        <v>#DIV/0!</v>
      </c>
      <c r="AQ12" s="263" t="e">
        <f t="shared" si="15"/>
        <v>#DIV/0!</v>
      </c>
      <c r="AR12" s="263" t="e">
        <f t="shared" si="16"/>
        <v>#DIV/0!</v>
      </c>
      <c r="AS12" s="263" t="str">
        <f t="shared" si="17"/>
        <v/>
      </c>
      <c r="AT12" s="263" t="e">
        <f t="shared" si="18"/>
        <v>#DIV/0!</v>
      </c>
      <c r="AU12" s="263" t="e">
        <f t="shared" si="19"/>
        <v>#DIV/0!</v>
      </c>
      <c r="AV12" s="263">
        <f t="shared" si="20"/>
        <v>0</v>
      </c>
    </row>
    <row r="13" spans="1:81" ht="26.1" customHeight="1">
      <c r="A13" s="267" t="s">
        <v>105</v>
      </c>
      <c r="B13" s="268" t="s">
        <v>106</v>
      </c>
      <c r="C13" s="271"/>
      <c r="AA13" s="263">
        <v>1</v>
      </c>
      <c r="AB13" s="263">
        <v>2</v>
      </c>
      <c r="AC13" s="263">
        <v>3</v>
      </c>
      <c r="AD13" s="263">
        <v>4</v>
      </c>
      <c r="AE13" s="263">
        <v>5</v>
      </c>
      <c r="AF13" s="263">
        <v>6</v>
      </c>
      <c r="AG13" s="263">
        <v>7</v>
      </c>
      <c r="AH13" s="263">
        <v>8</v>
      </c>
      <c r="AI13" s="263">
        <v>9</v>
      </c>
      <c r="AJ13" s="263">
        <v>10</v>
      </c>
      <c r="AK13" s="263">
        <v>11</v>
      </c>
      <c r="AL13" s="263">
        <v>12</v>
      </c>
      <c r="AM13" s="263">
        <v>13</v>
      </c>
      <c r="AN13" s="263">
        <v>14</v>
      </c>
      <c r="AO13" s="263">
        <v>15</v>
      </c>
      <c r="AP13" s="263">
        <v>16</v>
      </c>
      <c r="AQ13" s="263">
        <v>17</v>
      </c>
      <c r="AR13" s="263">
        <v>18</v>
      </c>
      <c r="AS13" s="263">
        <v>19</v>
      </c>
      <c r="AT13" s="263">
        <v>20</v>
      </c>
      <c r="AU13" s="263">
        <v>21</v>
      </c>
    </row>
    <row r="14" spans="1:81" ht="26.1" customHeight="1">
      <c r="A14" s="267" t="s">
        <v>107</v>
      </c>
      <c r="B14" s="272" t="str">
        <f>IF(B12="钢管",VLOOKUP(B13,$J$5:$U$12,2,FALSE),IF(B12="方管",VLOOKUP(B13,$AA$5:$AP$12,2,FALSE),IF(B12="H型钢",VLOOKUP(B13,$J$17:$U$26,2,FALSE),IF(B12="多棱管",VLOOKUP(B13,$J$30:$U$35,2,FALSE),IF(B12="O形截面",VLOOKUP(B13,$AA$17:$AS$24,2,FALSE))))))</f>
        <v>Q420B</v>
      </c>
      <c r="C14" s="271"/>
    </row>
    <row r="15" spans="1:81" ht="26.1" customHeight="1">
      <c r="A15" s="267" t="s">
        <v>108</v>
      </c>
      <c r="B15" s="272">
        <f>IF(B12="钢管",VLOOKUP(B13,$J$5:$Z$12,17,FALSE),IF(B12="方管",VLOOKUP(B13,$AA$5:$AU$12,21,FALSE),IF(B12="H型钢",VLOOKUP(B13,$J$17:$Z$26,17,FALSE),IF(B12="多棱管",VLOOKUP(B13,$J$30:$Z$35,17,FALSE),IF(B12="O形截面",VLOOKUP(B13,$AA$17:$AV$26,21,FALSE))))))</f>
        <v>378</v>
      </c>
      <c r="C15" s="271" t="s">
        <v>109</v>
      </c>
      <c r="J15" s="263" t="s">
        <v>110</v>
      </c>
      <c r="K15" s="263" t="s">
        <v>68</v>
      </c>
      <c r="AA15" s="263" t="s">
        <v>104</v>
      </c>
      <c r="AB15" s="263" t="s">
        <v>68</v>
      </c>
      <c r="BH15" s="263" t="s">
        <v>111</v>
      </c>
      <c r="BL15" s="263" t="s">
        <v>112</v>
      </c>
      <c r="BQ15" s="263" t="s">
        <v>113</v>
      </c>
    </row>
    <row r="16" spans="1:81" ht="26.1" customHeight="1">
      <c r="A16" s="267" t="s">
        <v>114</v>
      </c>
      <c r="B16" s="272">
        <f>IF(B12="钢管",VLOOKUP(B13,$J$5:$U$12,11,FALSE),IF(B12="方管",VLOOKUP(B13,$AA$5:$AP$12,15,FALSE),IF(B12="H型钢",VLOOKUP(B13,$J$17:$U$26,11,FALSE),IF(B12="多棱管",VLOOKUP(B13,$J$30:$U$35,11,FALSE),IF(B12="O形截面",VLOOKUP(B13,$AA$17:$AU$24,15,FALSE))))))</f>
        <v>44627.183945442303</v>
      </c>
      <c r="C16" s="271" t="s">
        <v>115</v>
      </c>
      <c r="J16" s="288" t="s">
        <v>72</v>
      </c>
      <c r="K16" s="288" t="s">
        <v>73</v>
      </c>
      <c r="L16" s="288" t="s">
        <v>116</v>
      </c>
      <c r="M16" s="288" t="s">
        <v>117</v>
      </c>
      <c r="N16" s="288" t="s">
        <v>118</v>
      </c>
      <c r="O16" s="288" t="s">
        <v>119</v>
      </c>
      <c r="P16" s="263" t="s">
        <v>76</v>
      </c>
      <c r="Q16" s="263" t="s">
        <v>77</v>
      </c>
      <c r="R16" s="264" t="s">
        <v>78</v>
      </c>
      <c r="S16" s="263" t="s">
        <v>79</v>
      </c>
      <c r="T16" s="263" t="s">
        <v>80</v>
      </c>
      <c r="U16" s="263" t="s">
        <v>81</v>
      </c>
      <c r="V16" s="263" t="s">
        <v>82</v>
      </c>
      <c r="AA16" s="288" t="s">
        <v>72</v>
      </c>
      <c r="AB16" s="288" t="s">
        <v>73</v>
      </c>
      <c r="AC16" s="303" t="s">
        <v>120</v>
      </c>
      <c r="AD16" s="303" t="s">
        <v>121</v>
      </c>
      <c r="AE16" s="288" t="s">
        <v>85</v>
      </c>
      <c r="AI16" s="263" t="s">
        <v>122</v>
      </c>
      <c r="AJ16" s="263" t="s">
        <v>123</v>
      </c>
      <c r="AK16" s="263" t="s">
        <v>76</v>
      </c>
      <c r="AL16" s="263" t="s">
        <v>77</v>
      </c>
      <c r="AM16" s="263" t="s">
        <v>124</v>
      </c>
      <c r="AN16" s="263" t="s">
        <v>78</v>
      </c>
      <c r="AO16" s="263" t="s">
        <v>125</v>
      </c>
      <c r="AP16" s="263" t="s">
        <v>80</v>
      </c>
      <c r="AQ16" s="263" t="s">
        <v>86</v>
      </c>
      <c r="AR16" s="263" t="s">
        <v>87</v>
      </c>
      <c r="AS16" s="263" t="s">
        <v>88</v>
      </c>
      <c r="AT16" s="263" t="s">
        <v>89</v>
      </c>
      <c r="AU16" s="263" t="s">
        <v>90</v>
      </c>
      <c r="AV16" s="263" t="s">
        <v>126</v>
      </c>
      <c r="AW16" s="263" t="s">
        <v>127</v>
      </c>
      <c r="AX16" s="263" t="s">
        <v>128</v>
      </c>
      <c r="AY16" s="263" t="s">
        <v>129</v>
      </c>
      <c r="AZ16" s="263" t="s">
        <v>130</v>
      </c>
      <c r="BA16" s="263" t="s">
        <v>131</v>
      </c>
      <c r="BB16" s="263" t="s">
        <v>132</v>
      </c>
      <c r="BC16" s="263" t="s">
        <v>133</v>
      </c>
      <c r="BD16" s="263" t="s">
        <v>134</v>
      </c>
      <c r="BE16" s="263" t="s">
        <v>135</v>
      </c>
      <c r="BF16" s="263" t="s">
        <v>136</v>
      </c>
      <c r="BG16" s="263" t="s">
        <v>137</v>
      </c>
      <c r="BH16" s="263" t="s">
        <v>138</v>
      </c>
      <c r="BI16" s="263" t="s">
        <v>139</v>
      </c>
      <c r="BJ16" s="263" t="s">
        <v>140</v>
      </c>
      <c r="BK16" s="263" t="s">
        <v>141</v>
      </c>
      <c r="BL16" s="263" t="s">
        <v>142</v>
      </c>
      <c r="BM16" s="263" t="s">
        <v>143</v>
      </c>
      <c r="BN16" s="263" t="s">
        <v>144</v>
      </c>
      <c r="BO16" s="263" t="s">
        <v>141</v>
      </c>
      <c r="BQ16" s="263" t="s">
        <v>145</v>
      </c>
      <c r="BR16" s="263" t="s">
        <v>146</v>
      </c>
      <c r="BS16" s="263" t="s">
        <v>147</v>
      </c>
      <c r="BT16" s="263" t="s">
        <v>148</v>
      </c>
    </row>
    <row r="17" spans="1:72" ht="26.1" customHeight="1">
      <c r="A17" s="267" t="s">
        <v>149</v>
      </c>
      <c r="B17" s="272">
        <f>IF(B12="钢管",VLOOKUP(B13,$J$5:$U$12,12,FALSE),IF(B12="方管",VLOOKUP(B13,$AA$5:$AP$12,16,FALSE),IF(B12="H型钢",VLOOKUP(B13,$J$17:$U$26,12,FALSE),IF(B12="多棱管",VLOOKUP(B13,$J$30:$U$35,12,FALSE),IF(B12="O形截面",VLOOKUP(B13,$AA$17:$AU$24,16,FALSE))))))</f>
        <v>69997.415487471997</v>
      </c>
      <c r="C17" s="271" t="s">
        <v>115</v>
      </c>
      <c r="J17" s="272" t="str">
        <f>IF(L17="","","H"&amp;L17&amp;"*"&amp;M17&amp;"*"&amp;N17&amp;"*"&amp;O17)</f>
        <v>H206*102*8*6.2</v>
      </c>
      <c r="K17" s="268" t="s">
        <v>93</v>
      </c>
      <c r="L17" s="268">
        <v>206</v>
      </c>
      <c r="M17" s="268">
        <v>102</v>
      </c>
      <c r="N17" s="268">
        <v>8</v>
      </c>
      <c r="O17" s="268">
        <v>6.2</v>
      </c>
      <c r="P17" s="263">
        <f>ROUND(Q17*1000*0.00000785*10/1000,2)</f>
        <v>0.22</v>
      </c>
      <c r="Q17" s="263">
        <f>N17*M17*2+(L17-2*N17)*O17</f>
        <v>2810</v>
      </c>
      <c r="R17" s="264">
        <f>(L17^3*M17-(2*(M17/2-O17/2)*(L17-2*N17)^3))/12</f>
        <v>19547752.666666701</v>
      </c>
      <c r="S17" s="263">
        <f>L17*M17^3/12-2*(((L17-2*N17)*(M17/2-O17/2)^3/12)+(L17-2*N17)*(M17/2-O17/2)*((M17/2-O17/2)/2+O17/2)^2)</f>
        <v>1418717.5266666701</v>
      </c>
      <c r="T17" s="263">
        <f t="shared" ref="T17:U24" si="21">ROUND(R17/(L17*0.5),2)</f>
        <v>189784.01</v>
      </c>
      <c r="U17" s="263">
        <f t="shared" si="21"/>
        <v>27817.99</v>
      </c>
      <c r="V17" s="263">
        <f>M17/1000*$B$233</f>
        <v>0.2346</v>
      </c>
      <c r="AA17" s="272" t="str">
        <f>IF(AC17="","","O"&amp;AC17&amp;"*"&amp;AD17)</f>
        <v>O140*2.25</v>
      </c>
      <c r="AB17" s="270" t="s">
        <v>96</v>
      </c>
      <c r="AC17" s="268">
        <v>140</v>
      </c>
      <c r="AD17" s="268">
        <v>2.25</v>
      </c>
      <c r="AE17" s="268">
        <v>3</v>
      </c>
      <c r="AI17" s="263">
        <f>AC17*0.5</f>
        <v>70</v>
      </c>
      <c r="AJ17" s="263">
        <f>AC17/2*TAN(RADIANS(30))</f>
        <v>40.414518843273797</v>
      </c>
      <c r="AK17" s="263">
        <f>AL17*0.00000785*10</f>
        <v>8.3165359524247695E-2</v>
      </c>
      <c r="AL17" s="263">
        <f>3.46*(AC17-AD17)*AD17-2*(BS17*BQ17*0.5-BR17*BT17*0.5)</f>
        <v>1059.43133151908</v>
      </c>
      <c r="AM17" s="267">
        <f>(BH17+(AW17*0.5)^2*BE17)*2+(BI17+BK17^2*BF17)*4+(BJ17)*2</f>
        <v>2826826.7059406</v>
      </c>
      <c r="AN17" s="263">
        <f>BL17*2+(BM17+BO17^2*BF17)*4+(BN17+BG17*(AW17*0.5)^2)*2</f>
        <v>2559876.9456515801</v>
      </c>
      <c r="AO17" s="263">
        <f>AM17/AI17</f>
        <v>40383.238656294299</v>
      </c>
      <c r="AP17" s="263">
        <f>AN17/AJ17</f>
        <v>63340.527585611002</v>
      </c>
      <c r="AQ17" s="263">
        <f>0.606/(AC17-AD17)/AD17</f>
        <v>1.9552329098608602E-3</v>
      </c>
      <c r="AR17" s="263">
        <f>AC17*0.5/AV17</f>
        <v>1.4080890037952099E-5</v>
      </c>
      <c r="AS17" s="263" t="str">
        <f>MID(AB17,2,3)</f>
        <v>420</v>
      </c>
      <c r="AT17" s="263">
        <f>(2*(AC17-2*AD17)/2*TAN(RADIANS(30))-AE17*2)/AD17</f>
        <v>32.102649544530799</v>
      </c>
      <c r="AU17" s="264">
        <f>ROUND(IF(AT17&lt;660/SQRT(AS17/1.111),AS17/1.111,(1-(SQRT((AS17/1.111))*AT17)*0.000448)*1.42*((AS17/1.111))),0)</f>
        <v>378</v>
      </c>
      <c r="AV17" s="263">
        <f>(BA17*AD17*2+BB17*AD17*4+BC17*AD17*2)*(AW17*0.5)^2</f>
        <v>4971276.6601635003</v>
      </c>
      <c r="AW17" s="263">
        <f>AC17-AD17</f>
        <v>137.75</v>
      </c>
      <c r="AX17" s="263">
        <f>360/6</f>
        <v>60</v>
      </c>
      <c r="AY17" s="263">
        <v>45</v>
      </c>
      <c r="AZ17" s="263">
        <v>30</v>
      </c>
      <c r="BA17" s="263">
        <f>2*(AW17/2)*TAN(RADIANS(AX17/2))</f>
        <v>79.529999580870907</v>
      </c>
      <c r="BB17" s="263">
        <f>SQRT(BA17^2+BD17^2-2*BA17*BD17*COS(RADIANS(AY17)))</f>
        <v>58.220000419129001</v>
      </c>
      <c r="BC17" s="263">
        <f>2*(AW17/2)*TAN(RADIANS(AZ17/2))</f>
        <v>36.910001257387201</v>
      </c>
      <c r="BD17" s="263">
        <f>BC17/2/SIN(RADIANS(AZ17*0.5))</f>
        <v>71.304646925744507</v>
      </c>
      <c r="BE17" s="263">
        <f>BA17*AD17</f>
        <v>178.94249905696</v>
      </c>
      <c r="BF17" s="263">
        <f>BB17*AD17</f>
        <v>130.99500094304</v>
      </c>
      <c r="BG17" s="263">
        <f>BC17*AD17</f>
        <v>83.0475028291211</v>
      </c>
      <c r="BH17" s="263">
        <f>AD17^3*BA17/12</f>
        <v>75.491366789654805</v>
      </c>
      <c r="BI17" s="263">
        <f>AD17*BB17*((BB17^2*COS(RADIANS(AZ17))^2)+(AD17^2*SIN(RADIANS(AZ17))^2))/12</f>
        <v>27764.848513224399</v>
      </c>
      <c r="BJ17" s="263">
        <f>BC17^3*AD17/12</f>
        <v>9428.3012831244705</v>
      </c>
      <c r="BK17" s="263">
        <f>AW17*0.5-BB17*0.5*COS(RADIANS(AZ17))</f>
        <v>43.665000314346798</v>
      </c>
      <c r="BL17" s="263">
        <f>BA17^3*AD17/12</f>
        <v>94317.919542000003</v>
      </c>
      <c r="BM17" s="263">
        <f>AD17*BB17*((BB17^2*COS(RADIANS(60))^2)+(AD17^2*SIN(RADIANS(60))^2))/12</f>
        <v>9291.7918484233705</v>
      </c>
      <c r="BN17" s="263">
        <f>AD17^3*BC17/12</f>
        <v>35.0356652560355</v>
      </c>
      <c r="BO17" s="263">
        <f>BA17*0.5+BB17*0.5*COS(RADIANS(60))</f>
        <v>54.319999895217698</v>
      </c>
      <c r="BQ17" s="263">
        <f>AC17*0.5/COS(RADIANS(30))-AC17*0.5</f>
        <v>10.829037686547601</v>
      </c>
      <c r="BR17" s="263">
        <f>(AC17-AD17)*0.5/COS(RADIANS(30))-AW17*0.5</f>
        <v>10.6549995808709</v>
      </c>
      <c r="BS17" s="263">
        <f>2*BQ17*TAN(RADIANS(60))</f>
        <v>37.512886940357198</v>
      </c>
      <c r="BT17" s="263">
        <f>2*BR17*TAN(RADIANS(60))</f>
        <v>36.910001257387101</v>
      </c>
    </row>
    <row r="18" spans="1:72" ht="26.1" customHeight="1">
      <c r="A18" s="292" t="s">
        <v>150</v>
      </c>
      <c r="B18" s="272">
        <f>IF(B12="钢管",VLOOKUP(B13,$J$5:$U$12,9,FALSE),IF(B12="方管",VLOOKUP(B13,$AA$5:$AP$12,13,FALSE),IF(B12="H型钢",VLOOKUP(B13,$J$17:$U$26,9,FALSE),IF(B12="多棱管",VLOOKUP(B13,$J$30:$U$35,9,FALSE),IF(B12="O形截面",VLOOKUP(B13,$AA$17:$AU$24,14,FALSE))))))</f>
        <v>2828911.8671988999</v>
      </c>
      <c r="C18" s="271" t="s">
        <v>151</v>
      </c>
      <c r="J18" s="272" t="str">
        <f t="shared" ref="J18:J21" si="22">IF(L18="","","H"&amp;L18&amp;"*"&amp;M18&amp;"*"&amp;N18&amp;"*"&amp;O18)</f>
        <v>H148*100*4.9*4.3</v>
      </c>
      <c r="K18" s="268" t="s">
        <v>93</v>
      </c>
      <c r="L18" s="268">
        <v>148</v>
      </c>
      <c r="M18" s="268">
        <v>100</v>
      </c>
      <c r="N18" s="268">
        <v>4.9000000000000004</v>
      </c>
      <c r="O18" s="268">
        <v>4.3</v>
      </c>
      <c r="P18" s="263">
        <f>ROUND(Q18*1000*0.00000785*10/1000,2)</f>
        <v>0.12</v>
      </c>
      <c r="Q18" s="263">
        <f>N18*M18*2+(L18-2*N18)*O18</f>
        <v>1574.26</v>
      </c>
      <c r="R18" s="264">
        <f>(L18^3*M18-(2*(M18/2-O18/2)*(L18-2*N18)^3))/12</f>
        <v>5964801.46353334</v>
      </c>
      <c r="S18" s="263">
        <f>L18*M18^3/12-2*(((L18-2*N18)*(M18/2-O18/2)^3/12)+(L18-2*N18)*(M18/2-O18/2)*((M18/2-O18/2)/2+O18/2)^2)</f>
        <v>817582.32228333305</v>
      </c>
      <c r="T18" s="263">
        <f t="shared" si="21"/>
        <v>80605.429999999993</v>
      </c>
      <c r="U18" s="263">
        <f t="shared" si="21"/>
        <v>16351.65</v>
      </c>
      <c r="V18" s="263">
        <f t="shared" ref="V18:V24" si="23">M18/1000*$B$233</f>
        <v>0.23</v>
      </c>
      <c r="AA18" s="272" t="str">
        <f t="shared" ref="AA18:AA24" si="24">IF(AC18="","","O"&amp;AC18&amp;"*"&amp;AD18)</f>
        <v>O165.2*2.5</v>
      </c>
      <c r="AB18" s="270" t="s">
        <v>96</v>
      </c>
      <c r="AC18" s="268">
        <v>165.2</v>
      </c>
      <c r="AD18" s="268">
        <v>2.5</v>
      </c>
      <c r="AE18" s="268">
        <v>3</v>
      </c>
      <c r="AI18" s="263">
        <f t="shared" ref="AI18:AI24" si="25">AC18*0.5</f>
        <v>82.6</v>
      </c>
      <c r="AJ18" s="263">
        <f t="shared" ref="AJ18:AJ24" si="26">AC18/2*TAN(RADIANS(30))</f>
        <v>47.689132235063099</v>
      </c>
      <c r="AK18" s="263">
        <f t="shared" ref="AK18:AK24" si="27">AL18*0.00000785*10</f>
        <v>0.10914364534953799</v>
      </c>
      <c r="AL18" s="263">
        <f t="shared" ref="AL18:AL24" si="28">3.46*(AC18-AD18)*AD18-2*(BS18*BQ18*0.5-BR18*BT18*0.5)</f>
        <v>1390.3649089113101</v>
      </c>
      <c r="AM18" s="267">
        <f t="shared" ref="AM18:AM24" si="29">(BH18+(AW18*0.5)^2*BE18)*2+(BI18+BK18^2*BF18)*4+(BJ18)*2</f>
        <v>5175363.6021034699</v>
      </c>
      <c r="AN18" s="263">
        <f t="shared" ref="AN18:AN24" si="30">BL18*2+(BM18+BO18^2*BF18)*4+(BN18+BG18*(AW18*0.5)^2)*2</f>
        <v>4686620.7658579303</v>
      </c>
      <c r="AO18" s="263">
        <f t="shared" ref="AO18:AO24" si="31">AM18/AI18</f>
        <v>62655.7336816401</v>
      </c>
      <c r="AP18" s="263">
        <f t="shared" ref="AP18:AP24" si="32">AN18/AJ18</f>
        <v>98274.398090475806</v>
      </c>
      <c r="AQ18" s="263">
        <f t="shared" ref="AQ18:AQ24" si="33">0.606/(AC18-AD18)/AD18</f>
        <v>1.48985863552551E-3</v>
      </c>
      <c r="AR18" s="263">
        <f t="shared" ref="AR18:AR24" si="34">AC18*0.5/AV18</f>
        <v>9.0754211419320597E-6</v>
      </c>
      <c r="AS18" s="263" t="str">
        <f t="shared" ref="AS18:AS24" si="35">MID(AB18,2,3)</f>
        <v>420</v>
      </c>
      <c r="AT18" s="263">
        <f t="shared" ref="AT18:AT24" si="36">(2*(AC18-2*AD18)/2*TAN(RADIANS(30))-AE18*2)/AD18</f>
        <v>34.5966052496712</v>
      </c>
      <c r="AU18" s="264">
        <f t="shared" ref="AU18:AU24" si="37">ROUND(IF(AT18&lt;660/SQRT(AS18/1.111),AS18/1.111,(1-(SQRT((AS18/1.111))*AT18)*0.000448)*1.42*((AS18/1.111))),0)</f>
        <v>375</v>
      </c>
      <c r="AV18" s="263">
        <f t="shared" ref="AV18:AV24" si="38">(BA18*AD18*2+BB18*AD18*4+BC18*AD18*2)*(AW18*0.5)^2</f>
        <v>9101506.0026641693</v>
      </c>
      <c r="AW18" s="263">
        <f t="shared" ref="AW18:AW24" si="39">AC18-AD18</f>
        <v>162.69999999999999</v>
      </c>
      <c r="AX18" s="263">
        <f t="shared" ref="AX18:AX24" si="40">360/6</f>
        <v>60</v>
      </c>
      <c r="AY18" s="263">
        <v>45</v>
      </c>
      <c r="AZ18" s="263">
        <v>30</v>
      </c>
      <c r="BA18" s="263">
        <f t="shared" ref="BA18:BA24" si="41">2*(AW18/2)*TAN(RADIANS(AX18/2))</f>
        <v>93.934888797152098</v>
      </c>
      <c r="BB18" s="263">
        <f t="shared" ref="BB18:BB24" si="42">SQRT(BA18^2+BD18^2-2*BA18*BD18*COS(RADIANS(AY18)))</f>
        <v>68.765111202847905</v>
      </c>
      <c r="BC18" s="263">
        <f t="shared" ref="BC18:BC24" si="43">2*(AW18/2)*TAN(RADIANS(AZ18/2))</f>
        <v>43.595333608543697</v>
      </c>
      <c r="BD18" s="263">
        <f t="shared" ref="BD18:BD24" si="44">BC18/2/SIN(RADIANS(AZ18*0.5))</f>
        <v>84.219717276360299</v>
      </c>
      <c r="BE18" s="263">
        <f t="shared" ref="BE18:BE24" si="45">BA18*AD18</f>
        <v>234.83722199287999</v>
      </c>
      <c r="BF18" s="263">
        <f t="shared" ref="BF18:BF24" si="46">BB18*AD18</f>
        <v>171.91277800712001</v>
      </c>
      <c r="BG18" s="263">
        <f t="shared" ref="BG18:BG24" si="47">BC18*AD18</f>
        <v>108.98833402135899</v>
      </c>
      <c r="BH18" s="263">
        <f t="shared" ref="BH18:BH24" si="48">AD18^3*BA18/12</f>
        <v>122.31105312129201</v>
      </c>
      <c r="BI18" s="263">
        <f t="shared" ref="BI18:BI24" si="49">AD18*BB18*((BB18^2*COS(RADIANS(AZ18))^2)+(AD18^2*SIN(RADIANS(AZ18))^2))/12</f>
        <v>50829.492462154703</v>
      </c>
      <c r="BJ18" s="263">
        <f t="shared" ref="BJ18:BJ24" si="50">BC18^3*AD18/12</f>
        <v>17261.5097869973</v>
      </c>
      <c r="BK18" s="263">
        <f t="shared" ref="BK18:BK24" si="51">AW18*0.5-BB18*0.5*COS(RADIANS(AZ18))</f>
        <v>51.573833402135897</v>
      </c>
      <c r="BL18" s="263">
        <f t="shared" ref="BL18:BL24" si="52">BA18^3*AD18/12</f>
        <v>172679.00572688601</v>
      </c>
      <c r="BM18" s="263">
        <f t="shared" ref="BM18:BM24" si="53">AD18*BB18*((BB18^2*COS(RADIANS(60))^2)+(AD18^2*SIN(RADIANS(60))^2))/12</f>
        <v>17002.856090859601</v>
      </c>
      <c r="BN18" s="263">
        <f t="shared" ref="BN18:BN24" si="54">AD18^3*BC18/12</f>
        <v>56.764757302791203</v>
      </c>
      <c r="BO18" s="263">
        <f t="shared" ref="BO18:BO24" si="55">BA18*0.5+BB18*0.5*COS(RADIANS(60))</f>
        <v>64.158722199287993</v>
      </c>
      <c r="BQ18" s="263">
        <f t="shared" ref="BQ18:BQ24" si="56">AC18*0.5/COS(RADIANS(30))-AC18*0.5</f>
        <v>12.778264470126199</v>
      </c>
      <c r="BR18" s="263">
        <f t="shared" ref="BR18:BR24" si="57">(AC18-AD18)*0.5/COS(RADIANS(30))-AW18*0.5</f>
        <v>12.5848887971521</v>
      </c>
      <c r="BS18" s="263">
        <f t="shared" ref="BS18:BS24" si="58">2*BQ18*TAN(RADIANS(60))</f>
        <v>44.2652065896214</v>
      </c>
      <c r="BT18" s="263">
        <f t="shared" ref="BT18:BT24" si="59">2*BR18*TAN(RADIANS(60))</f>
        <v>43.595333608543598</v>
      </c>
    </row>
    <row r="19" spans="1:72" ht="26.1" customHeight="1">
      <c r="A19" s="267" t="s">
        <v>152</v>
      </c>
      <c r="B19" s="272">
        <f>IF(B12="钢管",VLOOKUP(B13,$J$5:$U$12,10,FALSE),IF(B12="方管",VLOOKUP(B13,$AA$5:$AP$12,14,FALSE),IF(B12="H型钢",VLOOKUP(B13,$J$17:$U$26,10,FALSE),IF(B12="多棱管",VLOOKUP(B13,$J$30:$U$35,10,FALSE),IF(B12="O形截面",VLOOKUP(B13,$AA$17:$AU$24,13,FALSE))))))</f>
        <v>3123902.8761809599</v>
      </c>
      <c r="C19" s="271" t="s">
        <v>151</v>
      </c>
      <c r="J19" s="272" t="str">
        <f t="shared" si="22"/>
        <v/>
      </c>
      <c r="K19" s="268"/>
      <c r="L19" s="268"/>
      <c r="M19" s="268"/>
      <c r="N19" s="268"/>
      <c r="O19" s="268"/>
      <c r="P19" s="263">
        <f t="shared" ref="P19:P21" si="60">ROUND(Q19*1000*0.00000785*10/1000,2)</f>
        <v>0</v>
      </c>
      <c r="Q19" s="263">
        <f>N19*M19*2+(L19-2*N19)*O19</f>
        <v>0</v>
      </c>
      <c r="R19" s="264">
        <f t="shared" ref="R19:R21" si="61">(L19^3*M19-(2*(M19/2-O19/2)*(L19-2*N19)^3))/12</f>
        <v>0</v>
      </c>
      <c r="S19" s="263">
        <f t="shared" ref="S19:S21" si="62">L19*M19^3/12-2*(((L19-2*N19)*(M19/2-O19/2)^3/12)+(L19-2*N19)*(M19/2-O19/2)*((M19/2-O19/2)/2+O19/2)^2)</f>
        <v>0</v>
      </c>
      <c r="T19" s="263" t="e">
        <f t="shared" si="21"/>
        <v>#DIV/0!</v>
      </c>
      <c r="U19" s="263" t="e">
        <f t="shared" si="21"/>
        <v>#DIV/0!</v>
      </c>
      <c r="V19" s="263">
        <f t="shared" si="23"/>
        <v>0</v>
      </c>
      <c r="AA19" s="272" t="str">
        <f t="shared" si="24"/>
        <v>O165.2*3</v>
      </c>
      <c r="AB19" s="270" t="s">
        <v>96</v>
      </c>
      <c r="AC19" s="268">
        <v>165.2</v>
      </c>
      <c r="AD19" s="268">
        <v>3</v>
      </c>
      <c r="AE19" s="268">
        <v>3</v>
      </c>
      <c r="AI19" s="263">
        <f t="shared" si="25"/>
        <v>82.6</v>
      </c>
      <c r="AJ19" s="263">
        <f t="shared" si="26"/>
        <v>47.689132235063099</v>
      </c>
      <c r="AK19" s="263">
        <f t="shared" si="27"/>
        <v>0.13056739989913599</v>
      </c>
      <c r="AL19" s="263">
        <f t="shared" si="28"/>
        <v>1663.27897960682</v>
      </c>
      <c r="AM19" s="267">
        <f t="shared" si="29"/>
        <v>6153533.8126951801</v>
      </c>
      <c r="AN19" s="263">
        <f t="shared" si="30"/>
        <v>5572458.5308545101</v>
      </c>
      <c r="AO19" s="263">
        <f t="shared" si="31"/>
        <v>74497.988047157094</v>
      </c>
      <c r="AP19" s="263">
        <f t="shared" si="32"/>
        <v>116849.652524342</v>
      </c>
      <c r="AQ19" s="263">
        <f t="shared" si="33"/>
        <v>1.24537607891492E-3</v>
      </c>
      <c r="AR19" s="263">
        <f t="shared" si="34"/>
        <v>7.6330068232896102E-6</v>
      </c>
      <c r="AS19" s="263" t="str">
        <f t="shared" si="35"/>
        <v>420</v>
      </c>
      <c r="AT19" s="263">
        <f t="shared" si="36"/>
        <v>28.638054284996102</v>
      </c>
      <c r="AU19" s="264">
        <f t="shared" si="37"/>
        <v>378</v>
      </c>
      <c r="AV19" s="263">
        <f t="shared" si="38"/>
        <v>10821423.5768758</v>
      </c>
      <c r="AW19" s="263">
        <f t="shared" si="39"/>
        <v>162.19999999999999</v>
      </c>
      <c r="AX19" s="263">
        <f t="shared" si="40"/>
        <v>60</v>
      </c>
      <c r="AY19" s="263">
        <v>45</v>
      </c>
      <c r="AZ19" s="263">
        <v>30</v>
      </c>
      <c r="BA19" s="263">
        <f t="shared" si="41"/>
        <v>93.646213662557301</v>
      </c>
      <c r="BB19" s="263">
        <f t="shared" si="42"/>
        <v>68.553786337442702</v>
      </c>
      <c r="BC19" s="263">
        <f t="shared" si="43"/>
        <v>43.461359012328103</v>
      </c>
      <c r="BD19" s="263">
        <f t="shared" si="44"/>
        <v>83.960898231257701</v>
      </c>
      <c r="BE19" s="263">
        <f t="shared" si="45"/>
        <v>280.93864098767199</v>
      </c>
      <c r="BF19" s="263">
        <f t="shared" si="46"/>
        <v>205.66135901232801</v>
      </c>
      <c r="BG19" s="263">
        <f t="shared" si="47"/>
        <v>130.384077036984</v>
      </c>
      <c r="BH19" s="263">
        <f t="shared" si="48"/>
        <v>210.70398074075399</v>
      </c>
      <c r="BI19" s="263">
        <f t="shared" si="49"/>
        <v>60446.722096043603</v>
      </c>
      <c r="BJ19" s="263">
        <f t="shared" si="50"/>
        <v>20523.4286421178</v>
      </c>
      <c r="BK19" s="263">
        <f t="shared" si="51"/>
        <v>51.415339753082002</v>
      </c>
      <c r="BL19" s="263">
        <f t="shared" si="52"/>
        <v>205310.270987836</v>
      </c>
      <c r="BM19" s="263">
        <f t="shared" si="53"/>
        <v>20251.738044853999</v>
      </c>
      <c r="BN19" s="263">
        <f t="shared" si="54"/>
        <v>97.788057777738203</v>
      </c>
      <c r="BO19" s="263">
        <f t="shared" si="55"/>
        <v>63.961553415639301</v>
      </c>
      <c r="BQ19" s="263">
        <f t="shared" si="56"/>
        <v>12.778264470126199</v>
      </c>
      <c r="BR19" s="263">
        <f t="shared" si="57"/>
        <v>12.5462136625573</v>
      </c>
      <c r="BS19" s="263">
        <f t="shared" si="58"/>
        <v>44.2652065896214</v>
      </c>
      <c r="BT19" s="263">
        <f t="shared" si="59"/>
        <v>43.461359012328103</v>
      </c>
    </row>
    <row r="20" spans="1:72" ht="26.1" customHeight="1">
      <c r="A20" s="267" t="s">
        <v>153</v>
      </c>
      <c r="B20" s="293">
        <v>206000</v>
      </c>
      <c r="C20" s="271" t="s">
        <v>109</v>
      </c>
      <c r="J20" s="272" t="str">
        <f t="shared" si="22"/>
        <v>H200*100*5.2*4.3</v>
      </c>
      <c r="K20" s="268" t="s">
        <v>93</v>
      </c>
      <c r="L20" s="268">
        <v>200</v>
      </c>
      <c r="M20" s="268">
        <v>100</v>
      </c>
      <c r="N20" s="268">
        <v>5.2</v>
      </c>
      <c r="O20" s="268">
        <v>4.3</v>
      </c>
      <c r="P20" s="263">
        <f t="shared" si="60"/>
        <v>0.15</v>
      </c>
      <c r="Q20" s="263">
        <f>N20*M20*2+(L20-2*N20)*O20</f>
        <v>1855.28</v>
      </c>
      <c r="R20" s="264">
        <f t="shared" si="61"/>
        <v>12310891.8570667</v>
      </c>
      <c r="S20" s="263">
        <f t="shared" si="62"/>
        <v>867922.87726666406</v>
      </c>
      <c r="T20" s="263">
        <f t="shared" si="21"/>
        <v>123108.92</v>
      </c>
      <c r="U20" s="263">
        <f t="shared" si="21"/>
        <v>17358.46</v>
      </c>
      <c r="V20" s="263">
        <f t="shared" si="23"/>
        <v>0.23</v>
      </c>
      <c r="AA20" s="272" t="str">
        <f t="shared" si="24"/>
        <v>O140*2.5</v>
      </c>
      <c r="AB20" s="270" t="s">
        <v>96</v>
      </c>
      <c r="AC20" s="268">
        <v>140</v>
      </c>
      <c r="AD20" s="268">
        <v>2.5</v>
      </c>
      <c r="AE20" s="268">
        <v>3</v>
      </c>
      <c r="AI20" s="263">
        <f t="shared" si="25"/>
        <v>70</v>
      </c>
      <c r="AJ20" s="263">
        <f t="shared" si="26"/>
        <v>40.414518843273797</v>
      </c>
      <c r="AK20" s="263">
        <f t="shared" si="27"/>
        <v>9.2237215643479198E-2</v>
      </c>
      <c r="AL20" s="263">
        <f t="shared" si="28"/>
        <v>1174.9963776239399</v>
      </c>
      <c r="AM20" s="267">
        <f t="shared" si="29"/>
        <v>3123902.8761809599</v>
      </c>
      <c r="AN20" s="263">
        <f t="shared" si="30"/>
        <v>2828911.8671988999</v>
      </c>
      <c r="AO20" s="263">
        <f t="shared" si="31"/>
        <v>44627.183945442303</v>
      </c>
      <c r="AP20" s="263">
        <f t="shared" si="32"/>
        <v>69997.415487471997</v>
      </c>
      <c r="AQ20" s="263">
        <f t="shared" si="33"/>
        <v>1.7629090909090899E-3</v>
      </c>
      <c r="AR20" s="263">
        <f t="shared" si="34"/>
        <v>1.27420511602756E-5</v>
      </c>
      <c r="AS20" s="263" t="str">
        <f t="shared" si="35"/>
        <v>420</v>
      </c>
      <c r="AT20" s="263">
        <f t="shared" si="36"/>
        <v>28.776914536239801</v>
      </c>
      <c r="AU20" s="264">
        <f t="shared" si="37"/>
        <v>378</v>
      </c>
      <c r="AV20" s="263">
        <f t="shared" si="38"/>
        <v>5493621.0127793802</v>
      </c>
      <c r="AW20" s="263">
        <f t="shared" si="39"/>
        <v>137.5</v>
      </c>
      <c r="AX20" s="263">
        <f t="shared" si="40"/>
        <v>60</v>
      </c>
      <c r="AY20" s="263">
        <v>45</v>
      </c>
      <c r="AZ20" s="263">
        <v>30</v>
      </c>
      <c r="BA20" s="263">
        <f t="shared" si="41"/>
        <v>79.385662013573494</v>
      </c>
      <c r="BB20" s="263">
        <f t="shared" si="42"/>
        <v>58.114337986426399</v>
      </c>
      <c r="BC20" s="263">
        <f t="shared" si="43"/>
        <v>36.843013959279403</v>
      </c>
      <c r="BD20" s="263">
        <f t="shared" si="44"/>
        <v>71.175237403193194</v>
      </c>
      <c r="BE20" s="263">
        <f t="shared" si="45"/>
        <v>198.46415503393399</v>
      </c>
      <c r="BF20" s="263">
        <f t="shared" si="46"/>
        <v>145.28584496606601</v>
      </c>
      <c r="BG20" s="263">
        <f t="shared" si="47"/>
        <v>92.107534898198395</v>
      </c>
      <c r="BH20" s="263">
        <f t="shared" si="48"/>
        <v>103.366747413507</v>
      </c>
      <c r="BI20" s="263">
        <f t="shared" si="49"/>
        <v>30685.819800581601</v>
      </c>
      <c r="BJ20" s="263">
        <f t="shared" si="50"/>
        <v>10418.956252996801</v>
      </c>
      <c r="BK20" s="263">
        <f t="shared" si="51"/>
        <v>43.585753489819801</v>
      </c>
      <c r="BL20" s="263">
        <f t="shared" si="52"/>
        <v>104228.136975286</v>
      </c>
      <c r="BM20" s="263">
        <f t="shared" si="53"/>
        <v>10279.0530741404</v>
      </c>
      <c r="BN20" s="263">
        <f t="shared" si="54"/>
        <v>47.972674426144998</v>
      </c>
      <c r="BO20" s="263">
        <f t="shared" si="55"/>
        <v>54.221415503393402</v>
      </c>
      <c r="BQ20" s="263">
        <f t="shared" si="56"/>
        <v>10.829037686547601</v>
      </c>
      <c r="BR20" s="263">
        <f t="shared" si="57"/>
        <v>10.6356620135735</v>
      </c>
      <c r="BS20" s="263">
        <f t="shared" si="58"/>
        <v>37.512886940357198</v>
      </c>
      <c r="BT20" s="263">
        <f t="shared" si="59"/>
        <v>36.843013959279297</v>
      </c>
    </row>
    <row r="21" spans="1:72" ht="26.1" customHeight="1">
      <c r="A21" s="267" t="s">
        <v>154</v>
      </c>
      <c r="B21" s="272">
        <f>IF(B12="钢管",VLOOKUP(B13,$J$5:$U$12,7,FALSE),IF(B12="方管",VLOOKUP(B13,$AA$5:$AP$12,11,FALSE),IF(B12="H型钢",VLOOKUP(B13,$J$17:$U$26,7,FALSE),IF(B12="多棱管",VLOOKUP(B13,$J$30:$U$35,7,FALSE),IF(B12="O形截面",VLOOKUP(B13,$AA$17:$AU$24,11,FALSE))))))</f>
        <v>9.2237215643479198E-2</v>
      </c>
      <c r="C21" s="271" t="s">
        <v>155</v>
      </c>
      <c r="J21" s="272" t="str">
        <f t="shared" si="22"/>
        <v>H150*100*5.5*4.3</v>
      </c>
      <c r="K21" s="268" t="s">
        <v>93</v>
      </c>
      <c r="L21" s="268">
        <v>150</v>
      </c>
      <c r="M21" s="268">
        <v>100</v>
      </c>
      <c r="N21" s="268">
        <v>5.5</v>
      </c>
      <c r="O21" s="268">
        <v>4.3</v>
      </c>
      <c r="P21" s="263">
        <f t="shared" si="60"/>
        <v>0.13</v>
      </c>
      <c r="Q21" s="263">
        <f t="shared" ref="Q21" si="63">N21*M21*2+(L21-2*N21)*O21</f>
        <v>1697.7</v>
      </c>
      <c r="R21" s="264">
        <f t="shared" si="61"/>
        <v>6707188.4749999996</v>
      </c>
      <c r="S21" s="263">
        <f t="shared" si="62"/>
        <v>917587.62274999905</v>
      </c>
      <c r="T21" s="263">
        <f t="shared" si="21"/>
        <v>89429.18</v>
      </c>
      <c r="U21" s="263">
        <f t="shared" si="21"/>
        <v>18351.75</v>
      </c>
      <c r="V21" s="263">
        <f t="shared" si="23"/>
        <v>0.23</v>
      </c>
      <c r="AA21" s="272" t="str">
        <f t="shared" si="24"/>
        <v>O140*3</v>
      </c>
      <c r="AB21" s="270" t="s">
        <v>96</v>
      </c>
      <c r="AC21" s="268">
        <v>140</v>
      </c>
      <c r="AD21" s="268">
        <v>3</v>
      </c>
      <c r="AE21" s="268">
        <v>3</v>
      </c>
      <c r="AI21" s="263">
        <f t="shared" si="25"/>
        <v>70</v>
      </c>
      <c r="AJ21" s="263">
        <f t="shared" si="26"/>
        <v>40.414518843273797</v>
      </c>
      <c r="AK21" s="263">
        <f t="shared" si="27"/>
        <v>0.110279684251865</v>
      </c>
      <c r="AL21" s="263">
        <f t="shared" si="28"/>
        <v>1404.83674206197</v>
      </c>
      <c r="AM21" s="267">
        <f t="shared" si="29"/>
        <v>3708088.2685691002</v>
      </c>
      <c r="AN21" s="263">
        <f t="shared" si="30"/>
        <v>3357968.4179351302</v>
      </c>
      <c r="AO21" s="263">
        <f t="shared" si="31"/>
        <v>52972.689550987103</v>
      </c>
      <c r="AP21" s="263">
        <f t="shared" si="32"/>
        <v>83088.170143933094</v>
      </c>
      <c r="AQ21" s="263">
        <f t="shared" si="33"/>
        <v>1.4744525547445301E-3</v>
      </c>
      <c r="AR21" s="263">
        <f t="shared" si="34"/>
        <v>1.07350603790372E-5</v>
      </c>
      <c r="AS21" s="263" t="str">
        <f t="shared" si="35"/>
        <v>420</v>
      </c>
      <c r="AT21" s="263">
        <f t="shared" si="36"/>
        <v>23.7883120238033</v>
      </c>
      <c r="AU21" s="264">
        <f t="shared" si="37"/>
        <v>378</v>
      </c>
      <c r="AV21" s="263">
        <f t="shared" si="38"/>
        <v>6520689.9196106903</v>
      </c>
      <c r="AW21" s="263">
        <f t="shared" si="39"/>
        <v>137</v>
      </c>
      <c r="AX21" s="263">
        <f t="shared" si="40"/>
        <v>60</v>
      </c>
      <c r="AY21" s="263">
        <v>45</v>
      </c>
      <c r="AZ21" s="263">
        <v>30</v>
      </c>
      <c r="BA21" s="263">
        <f t="shared" si="41"/>
        <v>79.096986878978697</v>
      </c>
      <c r="BB21" s="263">
        <f t="shared" si="42"/>
        <v>57.903013121021303</v>
      </c>
      <c r="BC21" s="263">
        <f t="shared" si="43"/>
        <v>36.709039363063802</v>
      </c>
      <c r="BD21" s="263">
        <f t="shared" si="44"/>
        <v>70.916418358090695</v>
      </c>
      <c r="BE21" s="263">
        <f t="shared" si="45"/>
        <v>237.29096063693601</v>
      </c>
      <c r="BF21" s="263">
        <f t="shared" si="46"/>
        <v>173.70903936306399</v>
      </c>
      <c r="BG21" s="263">
        <f t="shared" si="47"/>
        <v>110.127118089191</v>
      </c>
      <c r="BH21" s="263">
        <f t="shared" si="48"/>
        <v>177.968220477702</v>
      </c>
      <c r="BI21" s="263">
        <f t="shared" si="49"/>
        <v>36432.853737660698</v>
      </c>
      <c r="BJ21" s="263">
        <f t="shared" si="50"/>
        <v>12366.849270042499</v>
      </c>
      <c r="BK21" s="263">
        <f t="shared" si="51"/>
        <v>43.427259840765998</v>
      </c>
      <c r="BL21" s="263">
        <f t="shared" si="52"/>
        <v>123714.278894296</v>
      </c>
      <c r="BM21" s="263">
        <f t="shared" si="53"/>
        <v>12231.1390989018</v>
      </c>
      <c r="BN21" s="263">
        <f t="shared" si="54"/>
        <v>82.595338566893602</v>
      </c>
      <c r="BO21" s="263">
        <f t="shared" si="55"/>
        <v>54.024246719744703</v>
      </c>
      <c r="BQ21" s="263">
        <f t="shared" si="56"/>
        <v>10.829037686547601</v>
      </c>
      <c r="BR21" s="263">
        <f t="shared" si="57"/>
        <v>10.596986878978701</v>
      </c>
      <c r="BS21" s="263">
        <f t="shared" si="58"/>
        <v>37.512886940357198</v>
      </c>
      <c r="BT21" s="263">
        <f t="shared" si="59"/>
        <v>36.709039363063802</v>
      </c>
    </row>
    <row r="22" spans="1:72" ht="26.1" customHeight="1">
      <c r="A22" s="267" t="s">
        <v>86</v>
      </c>
      <c r="B22" s="272">
        <f>IF(B12="钢管",VLOOKUP(B13,$J$5:$W$12,13,FALSE),IF(B12="方管",VLOOKUP(B13,$AA$5:$AR$12,17,FALSE),IF(B12="H型钢",VLOOKUP(B13,$J$17:$W$26,13,FALSE),IF(B12="多棱管",VLOOKUP(B13,$J$30:$W$35,13,FALSE),IF(B12="O形截面",VLOOKUP(B13,$AA$17:$AU$24,17,FALSE))))))</f>
        <v>1.7629090909090899E-3</v>
      </c>
      <c r="C22" s="271"/>
      <c r="J22" s="272" t="str">
        <f t="shared" ref="J22:J24" si="64">IF(L22="","","H"&amp;L22&amp;"*"&amp;M22&amp;"*"&amp;N22&amp;"*"&amp;O22)</f>
        <v>H148*100*4.9*4.3</v>
      </c>
      <c r="K22" s="268" t="s">
        <v>93</v>
      </c>
      <c r="L22" s="268">
        <v>148</v>
      </c>
      <c r="M22" s="268">
        <v>100</v>
      </c>
      <c r="N22" s="268">
        <v>4.9000000000000004</v>
      </c>
      <c r="O22" s="268">
        <v>4.3</v>
      </c>
      <c r="P22" s="263">
        <f t="shared" ref="P22:P24" si="65">ROUND(Q22*1000*0.00000785*10/1000,2)</f>
        <v>0.12</v>
      </c>
      <c r="Q22" s="263">
        <f t="shared" ref="Q22:Q24" si="66">N22*M22*2+(L22-2*N22)*O22</f>
        <v>1574.26</v>
      </c>
      <c r="R22" s="264">
        <f t="shared" ref="R22:R24" si="67">(L22^3*M22-(2*(M22/2-O22/2)*(L22-2*N22)^3))/12</f>
        <v>5964801.46353334</v>
      </c>
      <c r="S22" s="263">
        <f t="shared" ref="S22:S24" si="68">L22*M22^3/12-2*(((L22-2*N22)*(M22/2-O22/2)^3/12)+(L22-2*N22)*(M22/2-O22/2)*((M22/2-O22/2)/2+O22/2)^2)</f>
        <v>817582.32228333305</v>
      </c>
      <c r="T22" s="263">
        <f t="shared" si="21"/>
        <v>80605.429999999993</v>
      </c>
      <c r="U22" s="263">
        <f t="shared" si="21"/>
        <v>16351.65</v>
      </c>
      <c r="V22" s="263">
        <f t="shared" si="23"/>
        <v>0.23</v>
      </c>
      <c r="AA22" s="272" t="str">
        <f t="shared" si="24"/>
        <v/>
      </c>
      <c r="AB22" s="270"/>
      <c r="AC22" s="268"/>
      <c r="AD22" s="268"/>
      <c r="AE22" s="268"/>
      <c r="AI22" s="263">
        <f t="shared" si="25"/>
        <v>0</v>
      </c>
      <c r="AJ22" s="263">
        <f t="shared" si="26"/>
        <v>0</v>
      </c>
      <c r="AK22" s="263">
        <f t="shared" si="27"/>
        <v>0</v>
      </c>
      <c r="AL22" s="263">
        <f t="shared" si="28"/>
        <v>0</v>
      </c>
      <c r="AM22" s="267">
        <f t="shared" si="29"/>
        <v>0</v>
      </c>
      <c r="AN22" s="263">
        <f t="shared" si="30"/>
        <v>0</v>
      </c>
      <c r="AO22" s="263" t="e">
        <f t="shared" si="31"/>
        <v>#DIV/0!</v>
      </c>
      <c r="AP22" s="263" t="e">
        <f t="shared" si="32"/>
        <v>#DIV/0!</v>
      </c>
      <c r="AQ22" s="263" t="e">
        <f t="shared" si="33"/>
        <v>#DIV/0!</v>
      </c>
      <c r="AR22" s="263" t="e">
        <f t="shared" si="34"/>
        <v>#DIV/0!</v>
      </c>
      <c r="AS22" s="263" t="str">
        <f t="shared" si="35"/>
        <v/>
      </c>
      <c r="AT22" s="263" t="e">
        <f t="shared" si="36"/>
        <v>#DIV/0!</v>
      </c>
      <c r="AU22" s="264" t="e">
        <f t="shared" si="37"/>
        <v>#DIV/0!</v>
      </c>
      <c r="AV22" s="263">
        <f t="shared" si="38"/>
        <v>0</v>
      </c>
      <c r="AW22" s="263">
        <f t="shared" si="39"/>
        <v>0</v>
      </c>
      <c r="AX22" s="263">
        <f t="shared" si="40"/>
        <v>60</v>
      </c>
      <c r="AY22" s="263">
        <v>45</v>
      </c>
      <c r="AZ22" s="263">
        <v>30</v>
      </c>
      <c r="BA22" s="263">
        <f t="shared" si="41"/>
        <v>0</v>
      </c>
      <c r="BB22" s="263">
        <f t="shared" si="42"/>
        <v>0</v>
      </c>
      <c r="BC22" s="263">
        <f t="shared" si="43"/>
        <v>0</v>
      </c>
      <c r="BD22" s="263">
        <f t="shared" si="44"/>
        <v>0</v>
      </c>
      <c r="BE22" s="263">
        <f t="shared" si="45"/>
        <v>0</v>
      </c>
      <c r="BF22" s="263">
        <f t="shared" si="46"/>
        <v>0</v>
      </c>
      <c r="BG22" s="263">
        <f t="shared" si="47"/>
        <v>0</v>
      </c>
      <c r="BH22" s="263">
        <f t="shared" si="48"/>
        <v>0</v>
      </c>
      <c r="BI22" s="263">
        <f t="shared" si="49"/>
        <v>0</v>
      </c>
      <c r="BJ22" s="263">
        <f t="shared" si="50"/>
        <v>0</v>
      </c>
      <c r="BK22" s="263">
        <f t="shared" si="51"/>
        <v>0</v>
      </c>
      <c r="BL22" s="263">
        <f t="shared" si="52"/>
        <v>0</v>
      </c>
      <c r="BM22" s="263">
        <f t="shared" si="53"/>
        <v>0</v>
      </c>
      <c r="BN22" s="263">
        <f t="shared" si="54"/>
        <v>0</v>
      </c>
      <c r="BO22" s="263">
        <f t="shared" si="55"/>
        <v>0</v>
      </c>
      <c r="BQ22" s="263">
        <f t="shared" si="56"/>
        <v>0</v>
      </c>
      <c r="BR22" s="263">
        <f t="shared" si="57"/>
        <v>0</v>
      </c>
      <c r="BS22" s="263">
        <f t="shared" si="58"/>
        <v>0</v>
      </c>
      <c r="BT22" s="263">
        <f t="shared" si="59"/>
        <v>0</v>
      </c>
    </row>
    <row r="23" spans="1:72" ht="26.1" customHeight="1">
      <c r="A23" s="267" t="s">
        <v>87</v>
      </c>
      <c r="B23" s="272">
        <f>IF(B12="钢管",VLOOKUP(B13,$J$5:$W$12,14,FALSE),IF(B12="方管",VLOOKUP(B13,$AA$5:$AR$12,18,FALSE),IF(B12="H型钢",VLOOKUP(B13,$J$17:$W$26,14,FALSE),IF(B12="多棱管",VLOOKUP(B13,$J$30:$W$35,14,FALSE),IF(B12="O形截面",VLOOKUP(B13,$AA$17:$AU$24,18,FALSE))))))</f>
        <v>1.27420511602756E-5</v>
      </c>
      <c r="C23" s="271"/>
      <c r="J23" s="272" t="str">
        <f t="shared" si="64"/>
        <v>H202*102*5.8*6.5</v>
      </c>
      <c r="K23" s="268" t="s">
        <v>93</v>
      </c>
      <c r="L23" s="268">
        <v>202</v>
      </c>
      <c r="M23" s="268">
        <v>102</v>
      </c>
      <c r="N23" s="268">
        <v>5.8</v>
      </c>
      <c r="O23" s="268">
        <v>6.5</v>
      </c>
      <c r="P23" s="263">
        <f t="shared" si="65"/>
        <v>0.19</v>
      </c>
      <c r="Q23" s="263">
        <f t="shared" si="66"/>
        <v>2420.8000000000002</v>
      </c>
      <c r="R23" s="264">
        <f t="shared" si="67"/>
        <v>15128778.357333301</v>
      </c>
      <c r="S23" s="263">
        <f t="shared" si="68"/>
        <v>1030191.7833333299</v>
      </c>
      <c r="T23" s="263">
        <f t="shared" si="21"/>
        <v>149789.88</v>
      </c>
      <c r="U23" s="263">
        <f t="shared" si="21"/>
        <v>20199.84</v>
      </c>
      <c r="V23" s="263">
        <f t="shared" si="23"/>
        <v>0.2346</v>
      </c>
      <c r="AA23" s="272" t="str">
        <f t="shared" si="24"/>
        <v/>
      </c>
      <c r="AB23" s="270"/>
      <c r="AC23" s="268"/>
      <c r="AD23" s="268"/>
      <c r="AE23" s="268"/>
      <c r="AI23" s="263">
        <f t="shared" si="25"/>
        <v>0</v>
      </c>
      <c r="AJ23" s="263">
        <f t="shared" si="26"/>
        <v>0</v>
      </c>
      <c r="AK23" s="263">
        <f t="shared" si="27"/>
        <v>0</v>
      </c>
      <c r="AL23" s="263">
        <f t="shared" si="28"/>
        <v>0</v>
      </c>
      <c r="AM23" s="267">
        <f t="shared" si="29"/>
        <v>0</v>
      </c>
      <c r="AN23" s="263">
        <f t="shared" si="30"/>
        <v>0</v>
      </c>
      <c r="AO23" s="263" t="e">
        <f t="shared" si="31"/>
        <v>#DIV/0!</v>
      </c>
      <c r="AP23" s="263" t="e">
        <f t="shared" si="32"/>
        <v>#DIV/0!</v>
      </c>
      <c r="AQ23" s="263" t="e">
        <f t="shared" si="33"/>
        <v>#DIV/0!</v>
      </c>
      <c r="AR23" s="263" t="e">
        <f t="shared" si="34"/>
        <v>#DIV/0!</v>
      </c>
      <c r="AS23" s="263" t="str">
        <f t="shared" si="35"/>
        <v/>
      </c>
      <c r="AT23" s="263" t="e">
        <f t="shared" si="36"/>
        <v>#DIV/0!</v>
      </c>
      <c r="AU23" s="264" t="e">
        <f t="shared" si="37"/>
        <v>#DIV/0!</v>
      </c>
      <c r="AV23" s="263">
        <f t="shared" si="38"/>
        <v>0</v>
      </c>
      <c r="AW23" s="263">
        <f t="shared" si="39"/>
        <v>0</v>
      </c>
      <c r="AX23" s="263">
        <f t="shared" si="40"/>
        <v>60</v>
      </c>
      <c r="AY23" s="263">
        <v>45</v>
      </c>
      <c r="AZ23" s="263">
        <v>30</v>
      </c>
      <c r="BA23" s="263">
        <f t="shared" si="41"/>
        <v>0</v>
      </c>
      <c r="BB23" s="263">
        <f t="shared" si="42"/>
        <v>0</v>
      </c>
      <c r="BC23" s="263">
        <f t="shared" si="43"/>
        <v>0</v>
      </c>
      <c r="BD23" s="263">
        <f t="shared" si="44"/>
        <v>0</v>
      </c>
      <c r="BE23" s="263">
        <f t="shared" si="45"/>
        <v>0</v>
      </c>
      <c r="BF23" s="263">
        <f t="shared" si="46"/>
        <v>0</v>
      </c>
      <c r="BG23" s="263">
        <f t="shared" si="47"/>
        <v>0</v>
      </c>
      <c r="BH23" s="263">
        <f t="shared" si="48"/>
        <v>0</v>
      </c>
      <c r="BI23" s="263">
        <f t="shared" si="49"/>
        <v>0</v>
      </c>
      <c r="BJ23" s="263">
        <f t="shared" si="50"/>
        <v>0</v>
      </c>
      <c r="BK23" s="263">
        <f t="shared" si="51"/>
        <v>0</v>
      </c>
      <c r="BL23" s="263">
        <f t="shared" si="52"/>
        <v>0</v>
      </c>
      <c r="BM23" s="263">
        <f t="shared" si="53"/>
        <v>0</v>
      </c>
      <c r="BN23" s="263">
        <f t="shared" si="54"/>
        <v>0</v>
      </c>
      <c r="BO23" s="263">
        <f t="shared" si="55"/>
        <v>0</v>
      </c>
      <c r="BQ23" s="263">
        <f t="shared" si="56"/>
        <v>0</v>
      </c>
      <c r="BR23" s="263">
        <f t="shared" si="57"/>
        <v>0</v>
      </c>
      <c r="BS23" s="263">
        <f t="shared" si="58"/>
        <v>0</v>
      </c>
      <c r="BT23" s="263">
        <f t="shared" si="59"/>
        <v>0</v>
      </c>
    </row>
    <row r="24" spans="1:72" ht="26.1" customHeight="1">
      <c r="A24" s="291" t="s">
        <v>156</v>
      </c>
      <c r="B24" s="267"/>
      <c r="C24" s="267"/>
      <c r="J24" s="272" t="str">
        <f t="shared" si="64"/>
        <v/>
      </c>
      <c r="K24" s="268"/>
      <c r="L24" s="268"/>
      <c r="M24" s="268"/>
      <c r="N24" s="268"/>
      <c r="O24" s="268"/>
      <c r="P24" s="263">
        <f t="shared" si="65"/>
        <v>0</v>
      </c>
      <c r="Q24" s="263">
        <f t="shared" si="66"/>
        <v>0</v>
      </c>
      <c r="R24" s="264">
        <f t="shared" si="67"/>
        <v>0</v>
      </c>
      <c r="S24" s="263">
        <f t="shared" si="68"/>
        <v>0</v>
      </c>
      <c r="T24" s="263" t="e">
        <f t="shared" si="21"/>
        <v>#DIV/0!</v>
      </c>
      <c r="U24" s="263" t="e">
        <f t="shared" si="21"/>
        <v>#DIV/0!</v>
      </c>
      <c r="V24" s="263">
        <f t="shared" si="23"/>
        <v>0</v>
      </c>
      <c r="AA24" s="272" t="str">
        <f t="shared" si="24"/>
        <v/>
      </c>
      <c r="AB24" s="270"/>
      <c r="AC24" s="268"/>
      <c r="AD24" s="268"/>
      <c r="AE24" s="268"/>
      <c r="AI24" s="263">
        <f t="shared" si="25"/>
        <v>0</v>
      </c>
      <c r="AJ24" s="263">
        <f t="shared" si="26"/>
        <v>0</v>
      </c>
      <c r="AK24" s="263">
        <f t="shared" si="27"/>
        <v>0</v>
      </c>
      <c r="AL24" s="263">
        <f t="shared" si="28"/>
        <v>0</v>
      </c>
      <c r="AM24" s="267">
        <f t="shared" si="29"/>
        <v>0</v>
      </c>
      <c r="AN24" s="263">
        <f t="shared" si="30"/>
        <v>0</v>
      </c>
      <c r="AO24" s="263" t="e">
        <f t="shared" si="31"/>
        <v>#DIV/0!</v>
      </c>
      <c r="AP24" s="263" t="e">
        <f t="shared" si="32"/>
        <v>#DIV/0!</v>
      </c>
      <c r="AQ24" s="263" t="e">
        <f t="shared" si="33"/>
        <v>#DIV/0!</v>
      </c>
      <c r="AR24" s="263" t="e">
        <f t="shared" si="34"/>
        <v>#DIV/0!</v>
      </c>
      <c r="AS24" s="263" t="str">
        <f t="shared" si="35"/>
        <v/>
      </c>
      <c r="AT24" s="263" t="e">
        <f t="shared" si="36"/>
        <v>#DIV/0!</v>
      </c>
      <c r="AU24" s="264" t="e">
        <f t="shared" si="37"/>
        <v>#DIV/0!</v>
      </c>
      <c r="AV24" s="263">
        <f t="shared" si="38"/>
        <v>0</v>
      </c>
      <c r="AW24" s="263">
        <f t="shared" si="39"/>
        <v>0</v>
      </c>
      <c r="AX24" s="263">
        <f t="shared" si="40"/>
        <v>60</v>
      </c>
      <c r="AY24" s="263">
        <v>45</v>
      </c>
      <c r="AZ24" s="263">
        <v>30</v>
      </c>
      <c r="BA24" s="263">
        <f t="shared" si="41"/>
        <v>0</v>
      </c>
      <c r="BB24" s="263">
        <f t="shared" si="42"/>
        <v>0</v>
      </c>
      <c r="BC24" s="263">
        <f t="shared" si="43"/>
        <v>0</v>
      </c>
      <c r="BD24" s="263">
        <f t="shared" si="44"/>
        <v>0</v>
      </c>
      <c r="BE24" s="263">
        <f t="shared" si="45"/>
        <v>0</v>
      </c>
      <c r="BF24" s="263">
        <f t="shared" si="46"/>
        <v>0</v>
      </c>
      <c r="BG24" s="263">
        <f t="shared" si="47"/>
        <v>0</v>
      </c>
      <c r="BH24" s="263">
        <f t="shared" si="48"/>
        <v>0</v>
      </c>
      <c r="BI24" s="263">
        <f t="shared" si="49"/>
        <v>0</v>
      </c>
      <c r="BJ24" s="263">
        <f t="shared" si="50"/>
        <v>0</v>
      </c>
      <c r="BK24" s="263">
        <f t="shared" si="51"/>
        <v>0</v>
      </c>
      <c r="BL24" s="263">
        <f t="shared" si="52"/>
        <v>0</v>
      </c>
      <c r="BM24" s="263">
        <f t="shared" si="53"/>
        <v>0</v>
      </c>
      <c r="BN24" s="263">
        <f t="shared" si="54"/>
        <v>0</v>
      </c>
      <c r="BO24" s="263">
        <f t="shared" si="55"/>
        <v>0</v>
      </c>
      <c r="BQ24" s="263">
        <f t="shared" si="56"/>
        <v>0</v>
      </c>
      <c r="BR24" s="263">
        <f t="shared" si="57"/>
        <v>0</v>
      </c>
      <c r="BS24" s="263">
        <f t="shared" si="58"/>
        <v>0</v>
      </c>
      <c r="BT24" s="263">
        <f t="shared" si="59"/>
        <v>0</v>
      </c>
    </row>
    <row r="25" spans="1:72" ht="26.1" customHeight="1">
      <c r="A25" s="271"/>
      <c r="B25" s="267"/>
      <c r="C25" s="267"/>
      <c r="R25" s="263"/>
      <c r="Z25" s="263"/>
    </row>
    <row r="26" spans="1:72" ht="26.1" customHeight="1">
      <c r="A26" s="271"/>
      <c r="B26" s="267"/>
      <c r="C26" s="267"/>
      <c r="R26" s="263"/>
      <c r="Z26" s="263"/>
    </row>
    <row r="27" spans="1:72" ht="26.1" customHeight="1">
      <c r="A27" s="271"/>
      <c r="B27" s="267"/>
      <c r="C27" s="267"/>
      <c r="AA27" s="263">
        <v>1</v>
      </c>
      <c r="AB27" s="263">
        <v>2</v>
      </c>
      <c r="AC27" s="263">
        <v>3</v>
      </c>
      <c r="AD27" s="263">
        <v>4</v>
      </c>
      <c r="AE27" s="263">
        <v>5</v>
      </c>
      <c r="AF27" s="263">
        <v>6</v>
      </c>
      <c r="AG27" s="263">
        <v>7</v>
      </c>
      <c r="AH27" s="263">
        <v>8</v>
      </c>
      <c r="AI27" s="263">
        <v>9</v>
      </c>
      <c r="AJ27" s="263">
        <v>10</v>
      </c>
      <c r="AK27" s="263">
        <v>11</v>
      </c>
      <c r="AL27" s="263">
        <v>12</v>
      </c>
      <c r="AM27" s="263">
        <v>13</v>
      </c>
      <c r="AN27" s="263">
        <v>14</v>
      </c>
      <c r="AO27" s="263">
        <v>15</v>
      </c>
      <c r="AP27" s="263">
        <v>16</v>
      </c>
    </row>
    <row r="28" spans="1:72" ht="26.1" customHeight="1">
      <c r="A28" s="267" t="s">
        <v>157</v>
      </c>
      <c r="B28" s="268">
        <v>7.3</v>
      </c>
      <c r="C28" s="271" t="s">
        <v>36</v>
      </c>
      <c r="D28" s="263" t="s">
        <v>158</v>
      </c>
      <c r="E28" s="263">
        <f>ROUND(B28/B29,3)</f>
        <v>1</v>
      </c>
      <c r="F28" s="263" t="s">
        <v>39</v>
      </c>
      <c r="G28" s="263">
        <f>$N$42</f>
        <v>-0.1</v>
      </c>
      <c r="J28" s="263" t="s">
        <v>159</v>
      </c>
      <c r="K28" s="263" t="s">
        <v>68</v>
      </c>
      <c r="AA28" s="263" t="s">
        <v>160</v>
      </c>
      <c r="AB28" s="263" t="s">
        <v>68</v>
      </c>
      <c r="BD28" s="386" t="s">
        <v>161</v>
      </c>
      <c r="BE28" s="386"/>
    </row>
    <row r="29" spans="1:72" ht="26.1" customHeight="1">
      <c r="A29" s="267" t="s">
        <v>162</v>
      </c>
      <c r="B29" s="268">
        <v>7.3</v>
      </c>
      <c r="C29" s="271" t="s">
        <v>36</v>
      </c>
      <c r="D29" s="263" t="s">
        <v>163</v>
      </c>
      <c r="E29" s="263">
        <f>ROUND(B30/B29,3)</f>
        <v>1</v>
      </c>
      <c r="F29" s="263" t="s">
        <v>42</v>
      </c>
      <c r="G29" s="263">
        <f>$N$51</f>
        <v>-0.1</v>
      </c>
      <c r="J29" s="288" t="s">
        <v>72</v>
      </c>
      <c r="K29" s="288" t="s">
        <v>73</v>
      </c>
      <c r="L29" s="288" t="s">
        <v>164</v>
      </c>
      <c r="M29" s="288" t="s">
        <v>74</v>
      </c>
      <c r="N29" s="288" t="s">
        <v>75</v>
      </c>
      <c r="O29" s="288" t="s">
        <v>165</v>
      </c>
      <c r="P29" s="263" t="s">
        <v>76</v>
      </c>
      <c r="Q29" s="263" t="s">
        <v>77</v>
      </c>
      <c r="R29" s="264" t="s">
        <v>78</v>
      </c>
      <c r="S29" s="263" t="s">
        <v>79</v>
      </c>
      <c r="T29" s="263" t="s">
        <v>125</v>
      </c>
      <c r="U29" s="263" t="s">
        <v>80</v>
      </c>
      <c r="V29" s="263" t="s">
        <v>86</v>
      </c>
      <c r="W29" s="263" t="s">
        <v>87</v>
      </c>
      <c r="X29" s="263" t="s">
        <v>88</v>
      </c>
      <c r="Y29" s="263" t="s">
        <v>89</v>
      </c>
      <c r="Z29" s="264" t="s">
        <v>90</v>
      </c>
      <c r="AA29" s="288" t="s">
        <v>72</v>
      </c>
      <c r="AB29" s="288" t="s">
        <v>73</v>
      </c>
      <c r="AC29" s="288" t="s">
        <v>122</v>
      </c>
      <c r="AD29" s="288" t="s">
        <v>123</v>
      </c>
      <c r="AE29" s="288" t="s">
        <v>166</v>
      </c>
      <c r="AF29" s="288" t="s">
        <v>167</v>
      </c>
      <c r="AK29" s="263" t="s">
        <v>76</v>
      </c>
      <c r="AL29" s="263" t="s">
        <v>77</v>
      </c>
      <c r="AM29" s="263" t="s">
        <v>78</v>
      </c>
      <c r="AN29" s="263" t="s">
        <v>79</v>
      </c>
      <c r="AO29" s="263" t="s">
        <v>80</v>
      </c>
      <c r="AP29" s="263" t="s">
        <v>81</v>
      </c>
      <c r="AR29" s="263" t="s">
        <v>168</v>
      </c>
      <c r="AS29" s="263" t="s">
        <v>169</v>
      </c>
      <c r="AT29" s="263" t="s">
        <v>170</v>
      </c>
      <c r="AU29" s="263" t="s">
        <v>171</v>
      </c>
      <c r="AV29" s="263" t="s">
        <v>172</v>
      </c>
      <c r="AW29" s="263" t="s">
        <v>173</v>
      </c>
      <c r="AX29" s="263" t="s">
        <v>174</v>
      </c>
      <c r="AY29" s="263" t="s">
        <v>175</v>
      </c>
      <c r="AZ29" s="263" t="s">
        <v>176</v>
      </c>
      <c r="BD29" s="287">
        <f>IF(L30="6边",30,IF(L30="8边",22.5,0))</f>
        <v>30</v>
      </c>
      <c r="BE29" s="287">
        <f>IF(L30="六边",0.577*M30*SIN(RADIANS(BD29)),0.541*M30*SIN(RADIANS(BD29)))</f>
        <v>37.869999999999997</v>
      </c>
    </row>
    <row r="30" spans="1:72" ht="26.1" customHeight="1">
      <c r="A30" s="267" t="s">
        <v>177</v>
      </c>
      <c r="B30" s="268">
        <v>7.3</v>
      </c>
      <c r="C30" s="271" t="s">
        <v>36</v>
      </c>
      <c r="D30" s="269"/>
      <c r="E30" s="269"/>
      <c r="F30" s="263" t="s">
        <v>45</v>
      </c>
      <c r="G30" s="263">
        <f>$N$60</f>
        <v>0.08</v>
      </c>
      <c r="J30" s="272" t="str">
        <f t="shared" ref="J30:J35" si="69">IF(M30="","","S"&amp;M30&amp;"*"&amp;N30)</f>
        <v>S140*2.25</v>
      </c>
      <c r="K30" s="268" t="s">
        <v>96</v>
      </c>
      <c r="L30" s="268" t="s">
        <v>178</v>
      </c>
      <c r="M30" s="268">
        <v>140</v>
      </c>
      <c r="N30" s="268">
        <v>2.25</v>
      </c>
      <c r="O30" s="268">
        <v>3</v>
      </c>
      <c r="P30" s="263">
        <f>ROUND(Q30*1000*0.00000785*10/1000,4)</f>
        <v>8.4199999999999997E-2</v>
      </c>
      <c r="Q30" s="263">
        <f t="shared" ref="Q30:Q35" si="70">ROUND(IF(L30="16边",3.19*(M30-N30)*N30,IF(L30="12边",3.22*(M30-N30)*N30,IF(L30="8边",3.32*(M30-N30)*N30,3.46*(M30-N30)*N30))),2)</f>
        <v>1072.3800000000001</v>
      </c>
      <c r="R30" s="264">
        <f t="shared" ref="R30:R35" si="71">ROUND(IF(L30="16边",0.403*(M30-N30)^3*N30,IF(L30="12边",0.411*(M30-N30)^3*N30,IF(L30="8边",0.438*(M30-N30)^3*N30,0.481*(M30-N30)^3*N30))),2)</f>
        <v>2828801.13</v>
      </c>
      <c r="S30" s="263">
        <f t="shared" ref="S30:S35" si="72">ROUND(IF(L30="16边",0.403*(M30-N30)^3*N30,IF(L30="12边",0.411*(M30-N30)^3*N30,IF(L30="8边",0.438*(M30-N30)^3*N30,0.481*(M30-N30)^3*N30))),2)</f>
        <v>2828801.13</v>
      </c>
      <c r="T30" s="263">
        <f>ROUND(R30/(M30*0.5),2)</f>
        <v>40411.440000000002</v>
      </c>
      <c r="U30" s="263">
        <f>ROUND(S30/BE29,2)</f>
        <v>74697.679999999993</v>
      </c>
      <c r="V30" s="263">
        <f>IF(L30="16边",0.634/(M30-N30)/N30,IF(L30="12边",0.631/(M30-N30)/N30,IF(L30="8边",0.618/(M30-N30)/N30,0.606/(M30-N30)/N30)))</f>
        <v>1.9552329098608602E-3</v>
      </c>
      <c r="W30" s="263">
        <f>IF(L30="16边",0.628*M30/N30/(M30-N30)^3,IF(L30="12边",0.622*M30/N30/(M30-N30)^3,IF(L30="8边",0.603*M30/N30/(M30-N30)^3,0.577*M30/N30/(M30-N30)^3)))</f>
        <v>1.3735564358528E-5</v>
      </c>
      <c r="X30" s="263" t="str">
        <f>MID(K30,2,3)</f>
        <v>420</v>
      </c>
      <c r="Y30" s="263">
        <f>IF(L30="8边",(2*(M30-2*N30)*0.5*TAN(RADIANS(22.5))-2*TAN(RADIANS(22.5))*O30)/N30,(2*(M30-2*N30)*0.5*TAN(RADIANS(30))-2*TAN(RADIANS(30))*O30)/N30)</f>
        <v>33.229715493358498</v>
      </c>
      <c r="Z30" s="264">
        <f>ROUND(IF(Y30&lt;660/SQRT(X30/1.111),X30/1.111,(1-(SQRT((X30/1.111))*Y30)*0.000448)*1.42*((X30/1.111))),0)</f>
        <v>378</v>
      </c>
      <c r="AA30" s="272" t="str">
        <f t="shared" ref="AA30:AA35" si="73">IF(AC30="","","J"&amp;AE30&amp;"*"&amp;AD30&amp;"*"&amp;AC30&amp;"*"&amp;AF30)</f>
        <v>J50*30*26.5*1.5</v>
      </c>
      <c r="AB30" s="268" t="s">
        <v>93</v>
      </c>
      <c r="AC30" s="268">
        <v>26.5</v>
      </c>
      <c r="AD30" s="268">
        <v>30</v>
      </c>
      <c r="AE30" s="268">
        <v>50</v>
      </c>
      <c r="AF30" s="268">
        <v>1.5</v>
      </c>
      <c r="AK30" s="263">
        <f t="shared" ref="AK30:AK35" si="74">ROUND((AD30+2*(AE30-2*AF30)+AC30*2)*AF30*0.00000785*1000*10/1000,2)</f>
        <v>0.02</v>
      </c>
      <c r="AL30" s="263">
        <f t="shared" ref="AL30:AL35" si="75">(AD30+2*(AE30-2*AF30)+AC30*2)*AF30</f>
        <v>265.5</v>
      </c>
      <c r="AM30" s="263">
        <f t="shared" ref="AM30:AM35" si="76">ROUND(((AD30-2*AF30)*AF30^3/12+(AD30-2*AF30)*AF30*(AE30-AX30-AF30/2)^2)+2*((AC30-AF30)*AF30^3/12+(AC30-AF30)*AF30*(AX30-AF30/2)^2)+2*(AF30*AE30^3/12+AE30*AF30*(AX30-AE30/2)^2),2)</f>
        <v>96965.19</v>
      </c>
      <c r="AN30" s="263">
        <f t="shared" ref="AN30:AN35" si="77">ROUND(2*(AE30*AF30^3/12+AE30*AF30*(AD30/2-AF30/2)^2)+(AF30*(AD30-2*AF30)^3/12)+2*(AF30*(AC30-AF30)^3/12+(AC30-AF30)*AF30*(AD30/2+(AC30-AF30)/2)^2),2)</f>
        <v>93572.88</v>
      </c>
      <c r="AO30" s="263">
        <f t="shared" ref="AO30:AO35" si="78">ROUND(AM30/AZ30,2)</f>
        <v>3401.1</v>
      </c>
      <c r="AP30" s="263">
        <f t="shared" ref="AP30:AP35" si="79">ROUND(AN30/(AD30*0.5+(AC30-AF30)),2)</f>
        <v>2339.3200000000002</v>
      </c>
      <c r="AR30" s="263">
        <f t="shared" ref="AR30:AR35" si="80">(AD30-2*AF30)*AF30</f>
        <v>40.5</v>
      </c>
      <c r="AS30" s="263">
        <f t="shared" ref="AS30:AS35" si="81">(AC30-AF30)*AF30*2</f>
        <v>75</v>
      </c>
      <c r="AT30" s="263">
        <f t="shared" ref="AT30:AT35" si="82">AE30*AF30</f>
        <v>75</v>
      </c>
      <c r="AU30" s="263">
        <f t="shared" ref="AU30:AU35" si="83">AE30-AF30/2</f>
        <v>49.25</v>
      </c>
      <c r="AV30" s="263">
        <f t="shared" ref="AV30:AV35" si="84">AF30/2</f>
        <v>0.75</v>
      </c>
      <c r="AW30" s="263">
        <f t="shared" ref="AW30:AW35" si="85">AE30/2</f>
        <v>25</v>
      </c>
      <c r="AX30" s="263">
        <f t="shared" ref="AX30:AX35" si="86">(AR30*AU30+AS30*AV30+AT30*AW30)/(AR30+AS30+AT30)</f>
        <v>20.608267716535401</v>
      </c>
      <c r="AY30" s="263">
        <f t="shared" ref="AY30:AY35" si="87">AE30-AX30</f>
        <v>29.391732283464599</v>
      </c>
      <c r="AZ30" s="263">
        <f>MAX(AX30:AY30)*0.97</f>
        <v>28.5099803149606</v>
      </c>
      <c r="BD30" s="287">
        <f t="shared" ref="BD30:BD35" si="88">IF(L31="6边",30,IF(L31="8边",22.5,0))</f>
        <v>22.5</v>
      </c>
      <c r="BE30" s="287">
        <f t="shared" ref="BE30:BE35" si="89">IF(L31="六边",0.577*M31*SIN(RADIANS(BD30)),0.541*M31*SIN(RADIANS(BD30)))</f>
        <v>31.054760536427001</v>
      </c>
    </row>
    <row r="31" spans="1:72" ht="26.1" customHeight="1">
      <c r="A31" s="267" t="s">
        <v>179</v>
      </c>
      <c r="B31" s="268">
        <v>6.3</v>
      </c>
      <c r="C31" s="267"/>
      <c r="F31" s="263" t="s">
        <v>180</v>
      </c>
      <c r="G31" s="263">
        <f>$N$69</f>
        <v>2.5000000000000001E-2</v>
      </c>
      <c r="J31" s="272" t="str">
        <f t="shared" si="69"/>
        <v>S150*3</v>
      </c>
      <c r="K31" s="268" t="s">
        <v>96</v>
      </c>
      <c r="L31" s="268" t="s">
        <v>181</v>
      </c>
      <c r="M31" s="268">
        <v>150</v>
      </c>
      <c r="N31" s="268">
        <v>3</v>
      </c>
      <c r="O31" s="268">
        <v>8</v>
      </c>
      <c r="P31" s="263">
        <f t="shared" ref="P31:P35" si="90">ROUND(Q31*1000*0.00000785*10/1000,4)</f>
        <v>0.1149</v>
      </c>
      <c r="Q31" s="263">
        <f t="shared" si="70"/>
        <v>1464.12</v>
      </c>
      <c r="R31" s="264">
        <f t="shared" si="71"/>
        <v>4173951.22</v>
      </c>
      <c r="S31" s="263">
        <f t="shared" si="72"/>
        <v>4173951.22</v>
      </c>
      <c r="T31" s="263">
        <f t="shared" ref="T31:T35" si="91">ROUND(R31/(M31*0.5),2)</f>
        <v>55652.68</v>
      </c>
      <c r="U31" s="263">
        <f t="shared" ref="U31:U35" si="92">ROUND(S31/BE30,2)</f>
        <v>134406.16</v>
      </c>
      <c r="V31" s="263">
        <f t="shared" ref="V31:V35" si="93">IF(L31="16边",0.634/(M31-N31)/N31,IF(L31="12边",0.631/(M31-N31)/N31,IF(L31="8边",0.618/(M31-N31)/N31,0.606/(M31-N31)/N31)))</f>
        <v>1.4013605442176899E-3</v>
      </c>
      <c r="W31" s="263">
        <f t="shared" ref="W31:W35" si="94">IF(L31="16边",0.628*M31/N31/(M31-N31)^3,IF(L31="12边",0.622*M31/N31/(M31-N31)^3,IF(L31="8边",0.603*M31/N31/(M31-N31)^3,0.577*M31/N31/(M31-N31)^3)))</f>
        <v>9.4915100567507293E-6</v>
      </c>
      <c r="X31" s="263" t="str">
        <f t="shared" ref="X31:X35" si="95">MID(K31,2,3)</f>
        <v>420</v>
      </c>
      <c r="Y31" s="263">
        <f t="shared" ref="Y31:Y35" si="96">IF(L31="8边",(2*(M31-2*N31)*0.5*TAN(RADIANS(22.5))-2*TAN(RADIANS(22.5))*O31)/N31,(2*(M31-2*N31)*0.5*TAN(RADIANS(30))-2*TAN(RADIANS(30))*O31)/N31)</f>
        <v>17.673111994585401</v>
      </c>
      <c r="Z31" s="264">
        <f t="shared" ref="Z31:Z35" si="97">ROUND(IF(Y31&lt;660/SQRT(X31/1.111),X31/1.111,(1-(SQRT((X31/1.111))*Y31)*0.000448)*1.42*((X31/1.111))),0)</f>
        <v>378</v>
      </c>
      <c r="AA31" s="272" t="str">
        <f t="shared" si="73"/>
        <v>J70*65*0*1.5</v>
      </c>
      <c r="AB31" s="268" t="s">
        <v>93</v>
      </c>
      <c r="AC31" s="268">
        <v>0</v>
      </c>
      <c r="AD31" s="268">
        <v>65</v>
      </c>
      <c r="AE31" s="268">
        <v>70</v>
      </c>
      <c r="AF31" s="268">
        <v>1.5</v>
      </c>
      <c r="AK31" s="263">
        <f t="shared" si="74"/>
        <v>0.02</v>
      </c>
      <c r="AL31" s="263">
        <f t="shared" si="75"/>
        <v>298.5</v>
      </c>
      <c r="AM31" s="263">
        <f t="shared" si="76"/>
        <v>163224.67000000001</v>
      </c>
      <c r="AN31" s="263">
        <f t="shared" si="77"/>
        <v>236986.38</v>
      </c>
      <c r="AO31" s="263">
        <f t="shared" si="78"/>
        <v>3220.06</v>
      </c>
      <c r="AP31" s="263">
        <f t="shared" si="79"/>
        <v>7644.72</v>
      </c>
      <c r="AR31" s="263">
        <f t="shared" si="80"/>
        <v>93</v>
      </c>
      <c r="AS31" s="263">
        <f t="shared" si="81"/>
        <v>-4.5</v>
      </c>
      <c r="AT31" s="263">
        <f t="shared" si="82"/>
        <v>105</v>
      </c>
      <c r="AU31" s="263">
        <f t="shared" si="83"/>
        <v>69.25</v>
      </c>
      <c r="AV31" s="263">
        <f t="shared" si="84"/>
        <v>0.75</v>
      </c>
      <c r="AW31" s="263">
        <f t="shared" si="85"/>
        <v>35</v>
      </c>
      <c r="AX31" s="263">
        <f t="shared" si="86"/>
        <v>52.257751937984501</v>
      </c>
      <c r="AY31" s="263">
        <f t="shared" si="87"/>
        <v>17.742248062015499</v>
      </c>
      <c r="AZ31" s="263">
        <f t="shared" ref="AZ31:AZ35" si="98">MAX(AX31:AY31)*0.97</f>
        <v>50.690019379844998</v>
      </c>
      <c r="BD31" s="287">
        <f t="shared" si="88"/>
        <v>0</v>
      </c>
      <c r="BE31" s="287">
        <f t="shared" si="89"/>
        <v>0</v>
      </c>
    </row>
    <row r="32" spans="1:72" ht="26.1" customHeight="1">
      <c r="A32" s="267" t="s">
        <v>182</v>
      </c>
      <c r="B32" s="268">
        <v>0.15</v>
      </c>
      <c r="C32" s="271" t="s">
        <v>36</v>
      </c>
      <c r="D32" s="263" t="s">
        <v>183</v>
      </c>
      <c r="E32" s="274" t="s">
        <v>184</v>
      </c>
      <c r="F32" s="263" t="s">
        <v>185</v>
      </c>
      <c r="G32" s="263">
        <f>$N$78</f>
        <v>0.08</v>
      </c>
      <c r="J32" s="272" t="str">
        <f t="shared" si="69"/>
        <v/>
      </c>
      <c r="K32" s="268"/>
      <c r="L32" s="268"/>
      <c r="M32" s="268"/>
      <c r="N32" s="268"/>
      <c r="O32" s="268"/>
      <c r="P32" s="263">
        <f t="shared" si="90"/>
        <v>0</v>
      </c>
      <c r="Q32" s="263">
        <f t="shared" si="70"/>
        <v>0</v>
      </c>
      <c r="R32" s="264">
        <f t="shared" si="71"/>
        <v>0</v>
      </c>
      <c r="S32" s="263">
        <f t="shared" si="72"/>
        <v>0</v>
      </c>
      <c r="T32" s="263" t="e">
        <f t="shared" si="91"/>
        <v>#DIV/0!</v>
      </c>
      <c r="U32" s="263" t="e">
        <f t="shared" si="92"/>
        <v>#DIV/0!</v>
      </c>
      <c r="V32" s="263" t="e">
        <f t="shared" si="93"/>
        <v>#DIV/0!</v>
      </c>
      <c r="W32" s="263" t="e">
        <f t="shared" si="94"/>
        <v>#DIV/0!</v>
      </c>
      <c r="X32" s="263" t="str">
        <f t="shared" si="95"/>
        <v/>
      </c>
      <c r="Y32" s="263" t="e">
        <f t="shared" si="96"/>
        <v>#DIV/0!</v>
      </c>
      <c r="Z32" s="264" t="e">
        <f t="shared" si="97"/>
        <v>#DIV/0!</v>
      </c>
      <c r="AA32" s="272" t="str">
        <f t="shared" si="73"/>
        <v>J70*65*0*1.5</v>
      </c>
      <c r="AB32" s="268" t="s">
        <v>93</v>
      </c>
      <c r="AC32" s="268">
        <v>0</v>
      </c>
      <c r="AD32" s="268">
        <v>65</v>
      </c>
      <c r="AE32" s="268">
        <v>70</v>
      </c>
      <c r="AF32" s="268">
        <v>1.5</v>
      </c>
      <c r="AK32" s="263">
        <f t="shared" si="74"/>
        <v>0.02</v>
      </c>
      <c r="AL32" s="263">
        <f t="shared" si="75"/>
        <v>298.5</v>
      </c>
      <c r="AM32" s="263">
        <f t="shared" si="76"/>
        <v>163224.67000000001</v>
      </c>
      <c r="AN32" s="263">
        <f t="shared" si="77"/>
        <v>236986.38</v>
      </c>
      <c r="AO32" s="263">
        <f t="shared" si="78"/>
        <v>3220.06</v>
      </c>
      <c r="AP32" s="263">
        <f t="shared" si="79"/>
        <v>7644.72</v>
      </c>
      <c r="AR32" s="263">
        <f t="shared" si="80"/>
        <v>93</v>
      </c>
      <c r="AS32" s="263">
        <f t="shared" si="81"/>
        <v>-4.5</v>
      </c>
      <c r="AT32" s="263">
        <f t="shared" si="82"/>
        <v>105</v>
      </c>
      <c r="AU32" s="263">
        <f t="shared" si="83"/>
        <v>69.25</v>
      </c>
      <c r="AV32" s="263">
        <f t="shared" si="84"/>
        <v>0.75</v>
      </c>
      <c r="AW32" s="263">
        <f t="shared" si="85"/>
        <v>35</v>
      </c>
      <c r="AX32" s="263">
        <f t="shared" si="86"/>
        <v>52.257751937984501</v>
      </c>
      <c r="AY32" s="263">
        <f t="shared" si="87"/>
        <v>17.742248062015499</v>
      </c>
      <c r="AZ32" s="263">
        <f t="shared" si="98"/>
        <v>50.690019379844998</v>
      </c>
      <c r="BD32" s="287">
        <f t="shared" si="88"/>
        <v>0</v>
      </c>
      <c r="BE32" s="287">
        <f t="shared" si="89"/>
        <v>0</v>
      </c>
    </row>
    <row r="33" spans="1:57" ht="26.1" customHeight="1">
      <c r="A33" s="267" t="s">
        <v>186</v>
      </c>
      <c r="B33" s="268">
        <v>3</v>
      </c>
      <c r="C33" s="271"/>
      <c r="D33" s="263" t="s">
        <v>187</v>
      </c>
      <c r="E33" s="313" t="s">
        <v>188</v>
      </c>
      <c r="J33" s="272" t="str">
        <f t="shared" si="69"/>
        <v/>
      </c>
      <c r="K33" s="268"/>
      <c r="L33" s="268"/>
      <c r="M33" s="268"/>
      <c r="N33" s="268"/>
      <c r="O33" s="268"/>
      <c r="P33" s="263">
        <f t="shared" si="90"/>
        <v>0</v>
      </c>
      <c r="Q33" s="263">
        <f t="shared" si="70"/>
        <v>0</v>
      </c>
      <c r="R33" s="264">
        <f t="shared" si="71"/>
        <v>0</v>
      </c>
      <c r="S33" s="263">
        <f t="shared" si="72"/>
        <v>0</v>
      </c>
      <c r="T33" s="263" t="e">
        <f t="shared" si="91"/>
        <v>#DIV/0!</v>
      </c>
      <c r="U33" s="263" t="e">
        <f t="shared" si="92"/>
        <v>#DIV/0!</v>
      </c>
      <c r="V33" s="263" t="e">
        <f t="shared" si="93"/>
        <v>#DIV/0!</v>
      </c>
      <c r="W33" s="263" t="e">
        <f t="shared" si="94"/>
        <v>#DIV/0!</v>
      </c>
      <c r="X33" s="263" t="str">
        <f t="shared" si="95"/>
        <v/>
      </c>
      <c r="Y33" s="263" t="e">
        <f t="shared" si="96"/>
        <v>#DIV/0!</v>
      </c>
      <c r="Z33" s="264" t="e">
        <f t="shared" si="97"/>
        <v>#DIV/0!</v>
      </c>
      <c r="AA33" s="272" t="str">
        <f t="shared" si="73"/>
        <v>J70*65*0*1.5</v>
      </c>
      <c r="AB33" s="268" t="s">
        <v>93</v>
      </c>
      <c r="AC33" s="268">
        <v>0</v>
      </c>
      <c r="AD33" s="268">
        <v>65</v>
      </c>
      <c r="AE33" s="268">
        <v>70</v>
      </c>
      <c r="AF33" s="268">
        <v>1.5</v>
      </c>
      <c r="AK33" s="263">
        <f t="shared" si="74"/>
        <v>0.02</v>
      </c>
      <c r="AL33" s="263">
        <f t="shared" si="75"/>
        <v>298.5</v>
      </c>
      <c r="AM33" s="263">
        <f t="shared" si="76"/>
        <v>163224.67000000001</v>
      </c>
      <c r="AN33" s="263">
        <f t="shared" si="77"/>
        <v>236986.38</v>
      </c>
      <c r="AO33" s="263">
        <f t="shared" si="78"/>
        <v>3220.06</v>
      </c>
      <c r="AP33" s="263">
        <f t="shared" si="79"/>
        <v>7644.72</v>
      </c>
      <c r="AR33" s="263">
        <f t="shared" si="80"/>
        <v>93</v>
      </c>
      <c r="AS33" s="263">
        <f t="shared" si="81"/>
        <v>-4.5</v>
      </c>
      <c r="AT33" s="263">
        <f t="shared" si="82"/>
        <v>105</v>
      </c>
      <c r="AU33" s="263">
        <f t="shared" si="83"/>
        <v>69.25</v>
      </c>
      <c r="AV33" s="263">
        <f t="shared" si="84"/>
        <v>0.75</v>
      </c>
      <c r="AW33" s="263">
        <f t="shared" si="85"/>
        <v>35</v>
      </c>
      <c r="AX33" s="263">
        <f t="shared" si="86"/>
        <v>52.257751937984501</v>
      </c>
      <c r="AY33" s="263">
        <f t="shared" si="87"/>
        <v>17.742248062015499</v>
      </c>
      <c r="AZ33" s="263">
        <f t="shared" si="98"/>
        <v>50.690019379844998</v>
      </c>
      <c r="BD33" s="287">
        <f t="shared" si="88"/>
        <v>0</v>
      </c>
      <c r="BE33" s="287">
        <f t="shared" si="89"/>
        <v>0</v>
      </c>
    </row>
    <row r="34" spans="1:57" ht="26.1" customHeight="1">
      <c r="A34" s="275" t="s">
        <v>189</v>
      </c>
      <c r="B34" s="274">
        <v>5</v>
      </c>
      <c r="C34" s="274">
        <v>10</v>
      </c>
      <c r="D34" s="274">
        <v>30</v>
      </c>
      <c r="E34" s="274">
        <v>40</v>
      </c>
      <c r="F34" s="274">
        <v>25</v>
      </c>
      <c r="G34" s="274">
        <v>30</v>
      </c>
      <c r="H34" s="274">
        <v>60</v>
      </c>
      <c r="J34" s="272" t="str">
        <f t="shared" si="69"/>
        <v/>
      </c>
      <c r="K34" s="268"/>
      <c r="L34" s="268"/>
      <c r="M34" s="268"/>
      <c r="N34" s="268"/>
      <c r="O34" s="268"/>
      <c r="P34" s="263">
        <f t="shared" si="90"/>
        <v>0</v>
      </c>
      <c r="Q34" s="263">
        <f t="shared" si="70"/>
        <v>0</v>
      </c>
      <c r="R34" s="264">
        <f t="shared" si="71"/>
        <v>0</v>
      </c>
      <c r="S34" s="263">
        <f t="shared" si="72"/>
        <v>0</v>
      </c>
      <c r="T34" s="263" t="e">
        <f t="shared" si="91"/>
        <v>#DIV/0!</v>
      </c>
      <c r="U34" s="263" t="e">
        <f t="shared" si="92"/>
        <v>#DIV/0!</v>
      </c>
      <c r="V34" s="263" t="e">
        <f t="shared" si="93"/>
        <v>#DIV/0!</v>
      </c>
      <c r="W34" s="263" t="e">
        <f t="shared" si="94"/>
        <v>#DIV/0!</v>
      </c>
      <c r="X34" s="263" t="str">
        <f t="shared" si="95"/>
        <v/>
      </c>
      <c r="Y34" s="263" t="e">
        <f t="shared" si="96"/>
        <v>#DIV/0!</v>
      </c>
      <c r="Z34" s="264" t="e">
        <f t="shared" si="97"/>
        <v>#DIV/0!</v>
      </c>
      <c r="AA34" s="272" t="str">
        <f t="shared" si="73"/>
        <v>J70*65*0*1.5</v>
      </c>
      <c r="AB34" s="268" t="s">
        <v>93</v>
      </c>
      <c r="AC34" s="268">
        <v>0</v>
      </c>
      <c r="AD34" s="268">
        <v>65</v>
      </c>
      <c r="AE34" s="268">
        <v>70</v>
      </c>
      <c r="AF34" s="268">
        <v>1.5</v>
      </c>
      <c r="AK34" s="263">
        <f t="shared" si="74"/>
        <v>0.02</v>
      </c>
      <c r="AL34" s="263">
        <f t="shared" si="75"/>
        <v>298.5</v>
      </c>
      <c r="AM34" s="263">
        <f t="shared" si="76"/>
        <v>163224.67000000001</v>
      </c>
      <c r="AN34" s="263">
        <f t="shared" si="77"/>
        <v>236986.38</v>
      </c>
      <c r="AO34" s="263">
        <f t="shared" si="78"/>
        <v>3220.06</v>
      </c>
      <c r="AP34" s="263">
        <f t="shared" si="79"/>
        <v>7644.72</v>
      </c>
      <c r="AR34" s="263">
        <f t="shared" si="80"/>
        <v>93</v>
      </c>
      <c r="AS34" s="263">
        <f t="shared" si="81"/>
        <v>-4.5</v>
      </c>
      <c r="AT34" s="263">
        <f t="shared" si="82"/>
        <v>105</v>
      </c>
      <c r="AU34" s="263">
        <f t="shared" si="83"/>
        <v>69.25</v>
      </c>
      <c r="AV34" s="263">
        <f t="shared" si="84"/>
        <v>0.75</v>
      </c>
      <c r="AW34" s="263">
        <f t="shared" si="85"/>
        <v>35</v>
      </c>
      <c r="AX34" s="263">
        <f t="shared" si="86"/>
        <v>52.257751937984501</v>
      </c>
      <c r="AY34" s="263">
        <f t="shared" si="87"/>
        <v>17.742248062015499</v>
      </c>
      <c r="AZ34" s="263">
        <f t="shared" si="98"/>
        <v>50.690019379844998</v>
      </c>
      <c r="BD34" s="287">
        <f t="shared" si="88"/>
        <v>0</v>
      </c>
      <c r="BE34" s="287">
        <f t="shared" si="89"/>
        <v>0</v>
      </c>
    </row>
    <row r="35" spans="1:57" ht="26.1" customHeight="1">
      <c r="A35" s="276" t="s">
        <v>190</v>
      </c>
      <c r="B35" s="274" t="s">
        <v>191</v>
      </c>
      <c r="C35" s="274" t="s">
        <v>192</v>
      </c>
      <c r="D35" s="274" t="s">
        <v>191</v>
      </c>
      <c r="E35" s="274" t="s">
        <v>191</v>
      </c>
      <c r="F35" s="274" t="s">
        <v>191</v>
      </c>
      <c r="G35" s="274" t="s">
        <v>191</v>
      </c>
      <c r="H35" s="274" t="s">
        <v>191</v>
      </c>
      <c r="J35" s="272" t="str">
        <f t="shared" si="69"/>
        <v/>
      </c>
      <c r="K35" s="268"/>
      <c r="L35" s="268"/>
      <c r="M35" s="268"/>
      <c r="N35" s="268"/>
      <c r="O35" s="268"/>
      <c r="P35" s="263">
        <f t="shared" si="90"/>
        <v>0</v>
      </c>
      <c r="Q35" s="263">
        <f t="shared" si="70"/>
        <v>0</v>
      </c>
      <c r="R35" s="264">
        <f t="shared" si="71"/>
        <v>0</v>
      </c>
      <c r="S35" s="263">
        <f t="shared" si="72"/>
        <v>0</v>
      </c>
      <c r="T35" s="263" t="e">
        <f t="shared" si="91"/>
        <v>#DIV/0!</v>
      </c>
      <c r="U35" s="263" t="e">
        <f t="shared" si="92"/>
        <v>#DIV/0!</v>
      </c>
      <c r="V35" s="263" t="e">
        <f t="shared" si="93"/>
        <v>#DIV/0!</v>
      </c>
      <c r="W35" s="263" t="e">
        <f t="shared" si="94"/>
        <v>#DIV/0!</v>
      </c>
      <c r="X35" s="263" t="str">
        <f t="shared" si="95"/>
        <v/>
      </c>
      <c r="Y35" s="263" t="e">
        <f t="shared" si="96"/>
        <v>#DIV/0!</v>
      </c>
      <c r="Z35" s="264" t="e">
        <f t="shared" si="97"/>
        <v>#DIV/0!</v>
      </c>
      <c r="AA35" s="272" t="str">
        <f t="shared" si="73"/>
        <v>J70*65*0*1.5</v>
      </c>
      <c r="AB35" s="268" t="s">
        <v>93</v>
      </c>
      <c r="AC35" s="268">
        <v>0</v>
      </c>
      <c r="AD35" s="268">
        <v>65</v>
      </c>
      <c r="AE35" s="268">
        <v>70</v>
      </c>
      <c r="AF35" s="268">
        <v>1.5</v>
      </c>
      <c r="AK35" s="263">
        <f t="shared" si="74"/>
        <v>0.02</v>
      </c>
      <c r="AL35" s="263">
        <f t="shared" si="75"/>
        <v>298.5</v>
      </c>
      <c r="AM35" s="263">
        <f t="shared" si="76"/>
        <v>163224.67000000001</v>
      </c>
      <c r="AN35" s="263">
        <f t="shared" si="77"/>
        <v>236986.38</v>
      </c>
      <c r="AO35" s="263">
        <f t="shared" si="78"/>
        <v>3220.06</v>
      </c>
      <c r="AP35" s="263">
        <f t="shared" si="79"/>
        <v>7644.72</v>
      </c>
      <c r="AR35" s="263">
        <f t="shared" si="80"/>
        <v>93</v>
      </c>
      <c r="AS35" s="263">
        <f t="shared" si="81"/>
        <v>-4.5</v>
      </c>
      <c r="AT35" s="263">
        <f t="shared" si="82"/>
        <v>105</v>
      </c>
      <c r="AU35" s="263">
        <f t="shared" si="83"/>
        <v>69.25</v>
      </c>
      <c r="AV35" s="263">
        <f t="shared" si="84"/>
        <v>0.75</v>
      </c>
      <c r="AW35" s="263">
        <f t="shared" si="85"/>
        <v>35</v>
      </c>
      <c r="AX35" s="263">
        <f t="shared" si="86"/>
        <v>52.257751937984501</v>
      </c>
      <c r="AY35" s="263">
        <f t="shared" si="87"/>
        <v>17.742248062015499</v>
      </c>
      <c r="AZ35" s="263">
        <f t="shared" si="98"/>
        <v>50.690019379844998</v>
      </c>
      <c r="BD35" s="287">
        <f t="shared" si="88"/>
        <v>0</v>
      </c>
      <c r="BE35" s="287">
        <f t="shared" si="89"/>
        <v>0</v>
      </c>
    </row>
    <row r="36" spans="1:57" ht="26.1" customHeight="1">
      <c r="A36" s="276" t="s">
        <v>193</v>
      </c>
      <c r="B36" s="277">
        <f>IF(B35="正常运行",$B$4,ROUND($B$5*SQRT($F$4),2))</f>
        <v>18</v>
      </c>
      <c r="C36" s="277">
        <f t="shared" ref="C36:G36" si="99">IF(C35="正常运行",$B$4,ROUND($B$5*SQRT($F$4),2))</f>
        <v>23.4</v>
      </c>
      <c r="D36" s="277">
        <f t="shared" si="99"/>
        <v>18</v>
      </c>
      <c r="E36" s="277">
        <f t="shared" si="99"/>
        <v>18</v>
      </c>
      <c r="F36" s="277">
        <f t="shared" si="99"/>
        <v>18</v>
      </c>
      <c r="G36" s="277">
        <f t="shared" si="99"/>
        <v>18</v>
      </c>
      <c r="H36" s="277">
        <f t="shared" ref="H36" si="100">IF(H35="正常运行",$B$4,ROUND($B$5*SQRT($F$4),2))</f>
        <v>18</v>
      </c>
      <c r="R36" s="263"/>
      <c r="Z36" s="263"/>
    </row>
    <row r="37" spans="1:57" ht="26.1" customHeight="1">
      <c r="A37" s="276" t="s">
        <v>194</v>
      </c>
      <c r="B37" s="294">
        <f>ROUND(B36^2/1600,3)</f>
        <v>0.20300000000000001</v>
      </c>
      <c r="C37" s="294">
        <f t="shared" ref="C37:G37" si="101">ROUND(C36^2/1600,3)</f>
        <v>0.34200000000000003</v>
      </c>
      <c r="D37" s="294">
        <f t="shared" si="101"/>
        <v>0.20300000000000001</v>
      </c>
      <c r="E37" s="294">
        <f t="shared" si="101"/>
        <v>0.20300000000000001</v>
      </c>
      <c r="F37" s="294">
        <f t="shared" si="101"/>
        <v>0.20300000000000001</v>
      </c>
      <c r="G37" s="294">
        <f t="shared" si="101"/>
        <v>0.20300000000000001</v>
      </c>
      <c r="H37" s="294">
        <f t="shared" ref="H37" si="102">ROUND(H36^2/1600,3)</f>
        <v>0.20300000000000001</v>
      </c>
      <c r="T37" s="263">
        <v>1</v>
      </c>
      <c r="U37" s="263">
        <v>2</v>
      </c>
      <c r="V37" s="263">
        <v>3</v>
      </c>
      <c r="W37" s="263">
        <v>4</v>
      </c>
      <c r="X37" s="263">
        <v>5</v>
      </c>
      <c r="Y37" s="263">
        <v>6</v>
      </c>
      <c r="Z37" s="263">
        <v>7</v>
      </c>
    </row>
    <row r="38" spans="1:57" ht="26.1" customHeight="1">
      <c r="A38" s="276" t="s">
        <v>195</v>
      </c>
      <c r="B38" s="277">
        <f>IF($E$33="1P",VLOOKUP(B34,$T$88:$Z$100,2,FALSE),IF($E$33="2P",VLOOKUP(B34,$T$104:$Z$116,2,FALSE)))</f>
        <v>0.12</v>
      </c>
      <c r="C38" s="277">
        <f t="shared" ref="C38:G38" si="103">IF($E$33="1P",VLOOKUP(C34,$T$88:$Z$100,2,FALSE),IF($E$33="2P",VLOOKUP(C34,$T$104:$Z$116,2,FALSE)))</f>
        <v>0.14000000000000001</v>
      </c>
      <c r="D38" s="277">
        <f t="shared" si="103"/>
        <v>0.62</v>
      </c>
      <c r="E38" s="277">
        <f t="shared" si="103"/>
        <v>0.9</v>
      </c>
      <c r="F38" s="277">
        <f t="shared" si="103"/>
        <v>0.52</v>
      </c>
      <c r="G38" s="277">
        <f t="shared" si="103"/>
        <v>0.62</v>
      </c>
      <c r="H38" s="277">
        <f t="shared" ref="H38" si="104">IF($E$33="1P",VLOOKUP(H34,$T$88:$Z$100,2,FALSE),IF($E$33="2P",VLOOKUP(H34,$T$104:$Z$116,2,FALSE)))</f>
        <v>1.1200000000000001</v>
      </c>
      <c r="R38" s="263"/>
      <c r="Z38" s="263"/>
    </row>
    <row r="39" spans="1:57" ht="26.1" customHeight="1">
      <c r="A39" s="276" t="s">
        <v>196</v>
      </c>
      <c r="B39" s="277">
        <f>IF($E$33="1P",VLOOKUP(B34,$T$88:$Z$100,3,FALSE),IF($E$33="2P",VLOOKUP(B34,$T$104:$Z$116,3,FALSE)))</f>
        <v>0.41</v>
      </c>
      <c r="C39" s="277">
        <f t="shared" ref="C39:H39" si="105">IF($E$33="1P",VLOOKUP(C34,$T$88:$Z$100,3,FALSE),IF($E$33="2P",VLOOKUP(C34,$T$104:$Z$116,3,FALSE)))</f>
        <v>0.38</v>
      </c>
      <c r="D39" s="277">
        <f t="shared" si="105"/>
        <v>1.42</v>
      </c>
      <c r="E39" s="277">
        <f t="shared" si="105"/>
        <v>1.87</v>
      </c>
      <c r="F39" s="277">
        <f t="shared" si="105"/>
        <v>1.1599999999999999</v>
      </c>
      <c r="G39" s="277">
        <f t="shared" si="105"/>
        <v>1.42</v>
      </c>
      <c r="H39" s="277">
        <f t="shared" si="105"/>
        <v>1.77</v>
      </c>
      <c r="R39" s="263"/>
      <c r="T39" s="314" t="s">
        <v>197</v>
      </c>
      <c r="U39" s="315"/>
      <c r="V39" s="315"/>
      <c r="W39" s="315"/>
      <c r="X39" s="315"/>
      <c r="Y39" s="315"/>
      <c r="Z39" s="321"/>
    </row>
    <row r="40" spans="1:57" ht="26.1" customHeight="1">
      <c r="A40" s="276" t="s">
        <v>198</v>
      </c>
      <c r="B40" s="274">
        <v>1</v>
      </c>
      <c r="C40" s="274">
        <v>1</v>
      </c>
      <c r="D40" s="274">
        <v>1</v>
      </c>
      <c r="E40" s="274">
        <v>1</v>
      </c>
      <c r="F40" s="274">
        <v>1</v>
      </c>
      <c r="G40" s="274">
        <v>1</v>
      </c>
      <c r="H40" s="274">
        <v>1</v>
      </c>
      <c r="L40" s="387" t="s">
        <v>199</v>
      </c>
      <c r="M40" s="388"/>
      <c r="N40" s="388"/>
      <c r="P40" s="43" t="s">
        <v>200</v>
      </c>
      <c r="Q40" s="263" t="s">
        <v>201</v>
      </c>
      <c r="R40" s="263"/>
      <c r="T40" s="316" t="s">
        <v>202</v>
      </c>
      <c r="U40" s="263">
        <v>0.8</v>
      </c>
      <c r="V40" s="263">
        <v>0.9</v>
      </c>
      <c r="W40" s="263">
        <v>1</v>
      </c>
      <c r="X40" s="263">
        <v>1.1000000000000001</v>
      </c>
      <c r="Y40" s="263">
        <v>1.2</v>
      </c>
      <c r="Z40" s="322">
        <v>1.3</v>
      </c>
    </row>
    <row r="41" spans="1:57" ht="26.1" customHeight="1">
      <c r="A41" s="278" t="s">
        <v>203</v>
      </c>
      <c r="B41" s="294">
        <f>ABS((B38-B39)/8)</f>
        <v>3.6249999999999998E-2</v>
      </c>
      <c r="C41" s="294">
        <f t="shared" ref="C41:G41" si="106">ABS((C38-C39)/8)</f>
        <v>0.03</v>
      </c>
      <c r="D41" s="294">
        <f t="shared" si="106"/>
        <v>0.1</v>
      </c>
      <c r="E41" s="294">
        <f t="shared" si="106"/>
        <v>0.12125</v>
      </c>
      <c r="F41" s="294">
        <f t="shared" si="106"/>
        <v>0.08</v>
      </c>
      <c r="G41" s="294">
        <f t="shared" si="106"/>
        <v>0.1</v>
      </c>
      <c r="H41" s="294">
        <f t="shared" ref="H41" si="107">ABS((H38-H39)/8)</f>
        <v>8.1250000000000003E-2</v>
      </c>
      <c r="K41" s="306"/>
      <c r="L41" s="277">
        <f>IF($E$28&lt;0.8,0,INDEX(T41:T46,MATCH($E$28,T41:T46),1))</f>
        <v>1</v>
      </c>
      <c r="M41" s="278">
        <f>IF($E$28&lt;0.8,0,INDEX(T41:T46,MATCH($E$28,T41:T46)+1,1))</f>
        <v>1.1000000000000001</v>
      </c>
      <c r="N41" s="277">
        <f>$E$28</f>
        <v>1</v>
      </c>
      <c r="P41" s="263">
        <f>IF($E$29&gt;1.3,0,IF($E$29&lt;0.8,0,INDEX(U40:Z40,1,MATCH($E$29,U40:Z40))))</f>
        <v>1</v>
      </c>
      <c r="Q41" s="263">
        <f>IF(P41=0.8,2,IF(P41=0.9,3,IF(P41=1,4,IF(P41=1.1,5,IF(P41=1.2,6,7)))))</f>
        <v>4</v>
      </c>
      <c r="R41" s="263"/>
      <c r="T41" s="317">
        <v>0.8</v>
      </c>
      <c r="U41" s="263">
        <v>-8.2000000000000003E-2</v>
      </c>
      <c r="V41" s="263">
        <v>-7.9000000000000001E-2</v>
      </c>
      <c r="W41" s="263">
        <v>-7.5999999999999998E-2</v>
      </c>
      <c r="X41" s="263">
        <v>-7.0999999999999994E-2</v>
      </c>
      <c r="Y41" s="263">
        <v>-6.6000000000000003E-2</v>
      </c>
      <c r="Z41" s="322">
        <v>-0.06</v>
      </c>
    </row>
    <row r="42" spans="1:57" ht="26.1" customHeight="1">
      <c r="A42" s="278" t="s">
        <v>204</v>
      </c>
      <c r="B42" s="294">
        <f t="shared" ref="B42:G42" si="108">B37*B38*B40</f>
        <v>2.436E-2</v>
      </c>
      <c r="C42" s="294">
        <f t="shared" si="108"/>
        <v>4.7879999999999999E-2</v>
      </c>
      <c r="D42" s="294">
        <f t="shared" si="108"/>
        <v>0.12586</v>
      </c>
      <c r="E42" s="294">
        <f t="shared" si="108"/>
        <v>0.1827</v>
      </c>
      <c r="F42" s="294">
        <f t="shared" si="108"/>
        <v>0.10556</v>
      </c>
      <c r="G42" s="294">
        <f t="shared" si="108"/>
        <v>0.12586</v>
      </c>
      <c r="H42" s="294">
        <f t="shared" ref="H42" si="109">H37*H38*H40</f>
        <v>0.22736000000000001</v>
      </c>
      <c r="L42" s="277">
        <f>VLOOKUP(L41,T40:Z46,Q41,FALSE)</f>
        <v>-0.1</v>
      </c>
      <c r="M42" s="277">
        <f>VLOOKUP(L41,T40:Z46,Q42,FALSE)</f>
        <v>-9.6000000000000002E-2</v>
      </c>
      <c r="N42" s="296">
        <f>TREND(L42:M42,L41:M41,N41)</f>
        <v>-0.1</v>
      </c>
      <c r="P42" s="263">
        <f>IF(P41&lt;0.8,0,IF(P41&gt;1.3,0,(INDEX(U40:Z40,1,MATCH(P41,U40:Z40)+1))))</f>
        <v>1.1000000000000001</v>
      </c>
      <c r="Q42" s="263">
        <f>IF(P42=0.8,2,IF(P42=0.9,3,IF(P42=1,4,IF(P42=1.1,5,IF(P42=1.2,6,7)))))</f>
        <v>5</v>
      </c>
      <c r="R42" s="263"/>
      <c r="T42" s="317">
        <v>0.9</v>
      </c>
      <c r="U42" s="263">
        <v>-9.2999999999999999E-2</v>
      </c>
      <c r="V42" s="263">
        <v>-0.09</v>
      </c>
      <c r="W42" s="263">
        <v>-8.6999999999999994E-2</v>
      </c>
      <c r="X42" s="263">
        <v>-8.2000000000000003E-2</v>
      </c>
      <c r="Y42" s="263">
        <v>-7.8E-2</v>
      </c>
      <c r="Z42" s="322">
        <v>-7.1999999999999995E-2</v>
      </c>
    </row>
    <row r="43" spans="1:57" ht="26.1" customHeight="1">
      <c r="A43" s="279" t="s">
        <v>205</v>
      </c>
      <c r="B43" s="277">
        <f>B37*B39*B40</f>
        <v>8.3229999999999998E-2</v>
      </c>
      <c r="C43" s="277">
        <f t="shared" ref="C43:G43" si="110">C37*C39*C40</f>
        <v>0.12995999999999999</v>
      </c>
      <c r="D43" s="277">
        <f t="shared" si="110"/>
        <v>0.28826000000000002</v>
      </c>
      <c r="E43" s="277">
        <f t="shared" si="110"/>
        <v>0.37961</v>
      </c>
      <c r="F43" s="277">
        <f t="shared" si="110"/>
        <v>0.23547999999999999</v>
      </c>
      <c r="G43" s="277">
        <f t="shared" si="110"/>
        <v>0.28826000000000002</v>
      </c>
      <c r="H43" s="277">
        <f t="shared" ref="H43" si="111">H37*H39*H40</f>
        <v>0.35931000000000002</v>
      </c>
      <c r="R43" s="263"/>
      <c r="T43" s="317">
        <v>1</v>
      </c>
      <c r="U43" s="263">
        <v>-0.106</v>
      </c>
      <c r="V43" s="263">
        <v>-0.10299999999999999</v>
      </c>
      <c r="W43" s="263">
        <v>-0.1</v>
      </c>
      <c r="X43" s="263">
        <v>-9.6000000000000002E-2</v>
      </c>
      <c r="Y43" s="263">
        <v>-9.0999999999999998E-2</v>
      </c>
      <c r="Z43" s="322">
        <v>-8.5999999999999993E-2</v>
      </c>
    </row>
    <row r="44" spans="1:57" ht="26.1" customHeight="1">
      <c r="A44" s="279" t="s">
        <v>206</v>
      </c>
      <c r="B44" s="274">
        <v>1.4</v>
      </c>
      <c r="C44" s="274">
        <v>1.4</v>
      </c>
      <c r="D44" s="274">
        <v>1.4</v>
      </c>
      <c r="E44" s="274">
        <v>1.4</v>
      </c>
      <c r="F44" s="274">
        <v>1.4</v>
      </c>
      <c r="G44" s="274">
        <v>1.4</v>
      </c>
      <c r="H44" s="274">
        <v>1.4</v>
      </c>
      <c r="R44" s="263"/>
      <c r="T44" s="317">
        <v>1.1000000000000001</v>
      </c>
      <c r="U44" s="263">
        <v>-0.122</v>
      </c>
      <c r="V44" s="263">
        <v>-0.11899999999999999</v>
      </c>
      <c r="W44" s="263">
        <v>-0.11600000000000001</v>
      </c>
      <c r="X44" s="263">
        <v>-0.112</v>
      </c>
      <c r="Y44" s="263">
        <v>-0.108</v>
      </c>
      <c r="Z44" s="322">
        <v>-0.10299999999999999</v>
      </c>
    </row>
    <row r="45" spans="1:57" ht="26.1" customHeight="1">
      <c r="A45" s="279" t="s">
        <v>207</v>
      </c>
      <c r="B45" s="274">
        <v>1.2</v>
      </c>
      <c r="C45" s="274">
        <v>1.2</v>
      </c>
      <c r="D45" s="274">
        <v>1.2</v>
      </c>
      <c r="E45" s="274">
        <v>1.2</v>
      </c>
      <c r="F45" s="274">
        <v>1.2</v>
      </c>
      <c r="G45" s="274">
        <v>1.2</v>
      </c>
      <c r="H45" s="274">
        <v>1.2</v>
      </c>
      <c r="R45" s="263"/>
      <c r="T45" s="317">
        <v>1.2</v>
      </c>
      <c r="U45" s="263">
        <v>-0.14000000000000001</v>
      </c>
      <c r="V45" s="263">
        <v>-0.13700000000000001</v>
      </c>
      <c r="W45" s="263">
        <v>-0.13400000000000001</v>
      </c>
      <c r="X45" s="263">
        <v>-0.13100000000000001</v>
      </c>
      <c r="Y45" s="263">
        <v>-0.126</v>
      </c>
      <c r="Z45" s="322">
        <v>-0.122</v>
      </c>
    </row>
    <row r="46" spans="1:57" ht="26.1" customHeight="1">
      <c r="A46" s="279" t="s">
        <v>208</v>
      </c>
      <c r="B46" s="277">
        <f>ROUND(B44*(B42+B43)*$B$9/2,4)</f>
        <v>0.39</v>
      </c>
      <c r="C46" s="277">
        <f t="shared" ref="C46:G46" si="112">ROUND(C44*(C42+C43)*$B$9/2,4)</f>
        <v>0.64459999999999995</v>
      </c>
      <c r="D46" s="277">
        <f t="shared" si="112"/>
        <v>1.5009999999999999</v>
      </c>
      <c r="E46" s="277">
        <f t="shared" si="112"/>
        <v>2.0381</v>
      </c>
      <c r="F46" s="277">
        <f t="shared" si="112"/>
        <v>1.2361</v>
      </c>
      <c r="G46" s="277">
        <f t="shared" si="112"/>
        <v>1.5009999999999999</v>
      </c>
      <c r="H46" s="277">
        <f t="shared" ref="H46" si="113">ROUND(H44*(H42+H43)*$B$9/2,4)</f>
        <v>2.1263999999999998</v>
      </c>
      <c r="R46" s="263"/>
      <c r="T46" s="318">
        <v>1.3</v>
      </c>
      <c r="U46" s="319">
        <v>-0.161</v>
      </c>
      <c r="V46" s="319">
        <v>-0.158</v>
      </c>
      <c r="W46" s="319">
        <v>-0.155</v>
      </c>
      <c r="X46" s="319">
        <v>-0.151</v>
      </c>
      <c r="Y46" s="319">
        <v>-0.14699999999999999</v>
      </c>
      <c r="Z46" s="323">
        <v>-0.14299999999999999</v>
      </c>
      <c r="AM46" s="269"/>
      <c r="AN46" s="269"/>
      <c r="AO46" s="269"/>
      <c r="AP46" s="269"/>
    </row>
    <row r="47" spans="1:57" ht="26.1" customHeight="1">
      <c r="A47" s="279" t="s">
        <v>209</v>
      </c>
      <c r="B47" s="277">
        <f>ROUND(B46*$B$31/$B$29,4)</f>
        <v>0.33660000000000001</v>
      </c>
      <c r="C47" s="277">
        <f t="shared" ref="C47:H47" si="114">ROUND(C46*$B$31/$B$29,4)</f>
        <v>0.55630000000000002</v>
      </c>
      <c r="D47" s="277">
        <f t="shared" si="114"/>
        <v>1.2954000000000001</v>
      </c>
      <c r="E47" s="277">
        <f t="shared" si="114"/>
        <v>1.7588999999999999</v>
      </c>
      <c r="F47" s="277">
        <f t="shared" si="114"/>
        <v>1.0668</v>
      </c>
      <c r="G47" s="277">
        <f t="shared" si="114"/>
        <v>1.2954000000000001</v>
      </c>
      <c r="H47" s="277">
        <f t="shared" si="114"/>
        <v>1.8351</v>
      </c>
      <c r="R47" s="263"/>
      <c r="T47" s="317"/>
      <c r="Z47" s="322"/>
      <c r="AM47" s="269"/>
      <c r="AN47" s="269"/>
      <c r="AO47" s="269"/>
      <c r="AP47" s="269"/>
    </row>
    <row r="48" spans="1:57" ht="26.1" customHeight="1">
      <c r="A48" s="279" t="s">
        <v>210</v>
      </c>
      <c r="B48" s="277">
        <f>ROUND(B45*$B$31*$B$6*COS(RADIANS(B34))/100/$B$29,4)</f>
        <v>0.6603</v>
      </c>
      <c r="C48" s="277">
        <f t="shared" ref="C48:H48" si="115">ROUND(C45*$B$31*$B$6*COS(RADIANS(C34))/100/$B$29,4)</f>
        <v>0.65269999999999995</v>
      </c>
      <c r="D48" s="277">
        <f t="shared" si="115"/>
        <v>0.57399999999999995</v>
      </c>
      <c r="E48" s="277">
        <f t="shared" si="115"/>
        <v>0.50770000000000004</v>
      </c>
      <c r="F48" s="277">
        <f t="shared" si="115"/>
        <v>0.60070000000000001</v>
      </c>
      <c r="G48" s="277">
        <f t="shared" si="115"/>
        <v>0.57399999999999995</v>
      </c>
      <c r="H48" s="277">
        <f t="shared" si="115"/>
        <v>0.33139999999999997</v>
      </c>
      <c r="R48" s="263"/>
      <c r="T48" s="314" t="s">
        <v>211</v>
      </c>
      <c r="U48" s="315"/>
      <c r="V48" s="315"/>
      <c r="W48" s="315"/>
      <c r="X48" s="315"/>
      <c r="Y48" s="315"/>
      <c r="Z48" s="321"/>
      <c r="AM48" s="269"/>
      <c r="AN48" s="269"/>
      <c r="AO48" s="269"/>
      <c r="AP48" s="269"/>
    </row>
    <row r="49" spans="1:42" ht="26.1" customHeight="1">
      <c r="A49" s="279" t="s">
        <v>212</v>
      </c>
      <c r="B49" s="277">
        <f>ROUND($B$21*B45*COS(RADIANS(B34)),4)</f>
        <v>0.1103</v>
      </c>
      <c r="C49" s="277">
        <f t="shared" ref="C49:G49" si="116">ROUND($B$21*C45*COS(RADIANS(C34)),4)</f>
        <v>0.109</v>
      </c>
      <c r="D49" s="277">
        <f t="shared" si="116"/>
        <v>9.5899999999999999E-2</v>
      </c>
      <c r="E49" s="277">
        <f t="shared" si="116"/>
        <v>8.48E-2</v>
      </c>
      <c r="F49" s="277">
        <f t="shared" si="116"/>
        <v>0.1003</v>
      </c>
      <c r="G49" s="277">
        <f t="shared" si="116"/>
        <v>9.5899999999999999E-2</v>
      </c>
      <c r="H49" s="277">
        <f t="shared" ref="H49" si="117">ROUND($B$21*H45*COS(RADIANS(H34)),4)</f>
        <v>5.5300000000000002E-2</v>
      </c>
      <c r="L49" s="387" t="s">
        <v>213</v>
      </c>
      <c r="M49" s="388"/>
      <c r="N49" s="388"/>
      <c r="P49" s="43" t="s">
        <v>200</v>
      </c>
      <c r="Q49" s="263" t="s">
        <v>201</v>
      </c>
      <c r="R49" s="263"/>
      <c r="T49" s="316" t="s">
        <v>202</v>
      </c>
      <c r="U49" s="263">
        <v>0.8</v>
      </c>
      <c r="V49" s="263">
        <v>0.9</v>
      </c>
      <c r="W49" s="263">
        <v>1</v>
      </c>
      <c r="X49" s="263">
        <v>1.1000000000000001</v>
      </c>
      <c r="Y49" s="263">
        <v>1.2</v>
      </c>
      <c r="Z49" s="322">
        <v>1.3</v>
      </c>
      <c r="AM49" s="269"/>
      <c r="AN49" s="269"/>
      <c r="AO49" s="269"/>
      <c r="AP49" s="269"/>
    </row>
    <row r="50" spans="1:42" ht="26.1" customHeight="1">
      <c r="A50" s="279" t="s">
        <v>214</v>
      </c>
      <c r="B50" s="277">
        <f>ROUND(B45*$B$159*$B$160*($B$31+1)*COS(RADIANS(B34))/$B$30,4)</f>
        <v>0.11169999999999999</v>
      </c>
      <c r="C50" s="277">
        <f t="shared" ref="C50:G50" si="118">ROUND(C45*$B$159*$B$160*($B$31+1)*COS(RADIANS(C34))/$B$30,4)</f>
        <v>0.1104</v>
      </c>
      <c r="D50" s="277">
        <f t="shared" si="118"/>
        <v>9.7100000000000006E-2</v>
      </c>
      <c r="E50" s="277">
        <f t="shared" si="118"/>
        <v>8.5900000000000004E-2</v>
      </c>
      <c r="F50" s="277">
        <f t="shared" si="118"/>
        <v>0.1016</v>
      </c>
      <c r="G50" s="277">
        <f t="shared" si="118"/>
        <v>9.7100000000000006E-2</v>
      </c>
      <c r="H50" s="277">
        <f t="shared" ref="H50" si="119">ROUND(H45*$B$159*$B$160*($B$31+1)*COS(RADIANS(H34))/$B$30,4)</f>
        <v>5.6099999999999997E-2</v>
      </c>
      <c r="L50" s="277">
        <f>IF($E$28&lt;0.8,0,INDEX(T50:T55,MATCH($E$28,T50:T55),1))</f>
        <v>1</v>
      </c>
      <c r="M50" s="278">
        <f>IF($E$28&lt;0.8,0,INDEX(T50:T55,MATCH($E$28,T50:T55)+1,1))</f>
        <v>1.1000000000000001</v>
      </c>
      <c r="N50" s="277">
        <f>$E$28</f>
        <v>1</v>
      </c>
      <c r="P50" s="263">
        <f>IF($E$29&gt;1.3,0,IF($E$29&lt;0.8,0,INDEX(U49:Z49,1,MATCH($E$29,U49:Z49))))</f>
        <v>1</v>
      </c>
      <c r="Q50" s="263">
        <f>IF(P50=0.8,2,IF(P50=0.9,3,IF(P50=1,4,IF(P50=1.1,5,IF(P50=1.2,6,7)))))</f>
        <v>4</v>
      </c>
      <c r="R50" s="263"/>
      <c r="T50" s="317">
        <v>0.8</v>
      </c>
      <c r="U50" s="263">
        <v>-8.2000000000000003E-2</v>
      </c>
      <c r="V50" s="263">
        <v>-9.2999999999999999E-2</v>
      </c>
      <c r="W50" s="263">
        <v>-0.106</v>
      </c>
      <c r="X50" s="263">
        <v>-0.122</v>
      </c>
      <c r="Y50" s="263">
        <v>-0.14000000000000001</v>
      </c>
      <c r="Z50" s="322">
        <v>-0.161</v>
      </c>
      <c r="AM50" s="269"/>
      <c r="AN50" s="269"/>
      <c r="AO50" s="269"/>
      <c r="AP50" s="269"/>
    </row>
    <row r="51" spans="1:42" ht="26.1" customHeight="1">
      <c r="A51" s="295" t="s">
        <v>215</v>
      </c>
      <c r="B51" s="296">
        <f>B47+B48+B49+B50</f>
        <v>1.2189000000000001</v>
      </c>
      <c r="C51" s="296">
        <f t="shared" ref="C51:G51" si="120">C47+C48+C49+C50</f>
        <v>1.4283999999999999</v>
      </c>
      <c r="D51" s="296">
        <f t="shared" si="120"/>
        <v>2.0623999999999998</v>
      </c>
      <c r="E51" s="296">
        <f t="shared" si="120"/>
        <v>2.4373</v>
      </c>
      <c r="F51" s="296">
        <f t="shared" si="120"/>
        <v>1.8694</v>
      </c>
      <c r="G51" s="296">
        <f t="shared" si="120"/>
        <v>2.0623999999999998</v>
      </c>
      <c r="H51" s="296">
        <f t="shared" ref="H51" si="121">H47+H48+H49+H50</f>
        <v>2.2778999999999998</v>
      </c>
      <c r="L51" s="277">
        <f>VLOOKUP(L50,T49:Z55,Q50,FALSE)</f>
        <v>-0.1</v>
      </c>
      <c r="M51" s="277">
        <f>VLOOKUP(L50,T49:Z55,Q51,FALSE)</f>
        <v>-0.11600000000000001</v>
      </c>
      <c r="N51" s="296">
        <f>TREND(L51:M51,L50:M50,N50)</f>
        <v>-0.1</v>
      </c>
      <c r="P51" s="263">
        <f>IF(P50&lt;0.8,0,IF(P50&gt;1.3,0,(INDEX(U49:Z49,1,MATCH(P50,U49:Z49)+1))))</f>
        <v>1.1000000000000001</v>
      </c>
      <c r="Q51" s="263">
        <f>IF(P51=0.8,2,IF(P51=0.9,3,IF(P51=1,4,IF(P51=1.1,5,IF(P51=1.2,6,7)))))</f>
        <v>5</v>
      </c>
      <c r="R51" s="263"/>
      <c r="T51" s="317">
        <v>0.9</v>
      </c>
      <c r="U51" s="263">
        <v>-7.9000000000000001E-2</v>
      </c>
      <c r="V51" s="263">
        <v>-0.09</v>
      </c>
      <c r="W51" s="263">
        <v>-0.10299999999999999</v>
      </c>
      <c r="X51" s="263">
        <v>-0.11899999999999999</v>
      </c>
      <c r="Y51" s="263">
        <v>-0.13700000000000001</v>
      </c>
      <c r="Z51" s="322">
        <v>-0.158</v>
      </c>
      <c r="AM51" s="269"/>
      <c r="AN51" s="269"/>
      <c r="AO51" s="269"/>
      <c r="AP51" s="269"/>
    </row>
    <row r="52" spans="1:42" ht="26.1" customHeight="1">
      <c r="A52" s="279" t="s">
        <v>216</v>
      </c>
      <c r="B52" s="277">
        <f t="shared" ref="B52:G52" si="122">ROUND(1.2*$B$31*$B$6*SIN(RADIANS(B34))/100/$B$30,4)</f>
        <v>5.7799999999999997E-2</v>
      </c>
      <c r="C52" s="277">
        <f t="shared" si="122"/>
        <v>0.11509999999999999</v>
      </c>
      <c r="D52" s="277">
        <f t="shared" si="122"/>
        <v>0.33139999999999997</v>
      </c>
      <c r="E52" s="277">
        <f t="shared" si="122"/>
        <v>0.42599999999999999</v>
      </c>
      <c r="F52" s="277">
        <f t="shared" si="122"/>
        <v>0.28010000000000002</v>
      </c>
      <c r="G52" s="277">
        <f t="shared" si="122"/>
        <v>0.33139999999999997</v>
      </c>
      <c r="H52" s="277">
        <f t="shared" ref="H52" si="123">ROUND(1.2*$B$31*$B$6*SIN(RADIANS(H34))/100/$B$30,4)</f>
        <v>0.57399999999999995</v>
      </c>
      <c r="R52" s="263"/>
      <c r="T52" s="317">
        <v>1</v>
      </c>
      <c r="U52" s="263">
        <v>-7.5999999999999998E-2</v>
      </c>
      <c r="V52" s="263">
        <v>-8.6999999999999994E-2</v>
      </c>
      <c r="W52" s="263">
        <v>-0.1</v>
      </c>
      <c r="X52" s="263">
        <v>-0.11600000000000001</v>
      </c>
      <c r="Y52" s="263">
        <v>-0.13400000000000001</v>
      </c>
      <c r="Z52" s="322">
        <v>-0.155</v>
      </c>
      <c r="AM52" s="269"/>
      <c r="AN52" s="269"/>
      <c r="AO52" s="269"/>
      <c r="AP52" s="269"/>
    </row>
    <row r="53" spans="1:42" ht="26.1" customHeight="1">
      <c r="A53" s="279" t="s">
        <v>217</v>
      </c>
      <c r="B53" s="277">
        <f t="shared" ref="B53:G53" si="124">ROUND($B$21*B45*SIN(RADIANS(B34)),4)</f>
        <v>9.5999999999999992E-3</v>
      </c>
      <c r="C53" s="277">
        <f t="shared" si="124"/>
        <v>1.9199999999999998E-2</v>
      </c>
      <c r="D53" s="277">
        <f t="shared" si="124"/>
        <v>5.5300000000000002E-2</v>
      </c>
      <c r="E53" s="277">
        <f t="shared" si="124"/>
        <v>7.1099999999999997E-2</v>
      </c>
      <c r="F53" s="277">
        <f t="shared" si="124"/>
        <v>4.6800000000000001E-2</v>
      </c>
      <c r="G53" s="277">
        <f t="shared" si="124"/>
        <v>5.5300000000000002E-2</v>
      </c>
      <c r="H53" s="277">
        <f t="shared" ref="H53" si="125">ROUND($B$21*H45*SIN(RADIANS(H34)),4)</f>
        <v>9.5899999999999999E-2</v>
      </c>
      <c r="R53" s="263"/>
      <c r="T53" s="317">
        <v>1.1000000000000001</v>
      </c>
      <c r="U53" s="263">
        <v>-7.0999999999999994E-2</v>
      </c>
      <c r="V53" s="263">
        <v>-8.2000000000000003E-2</v>
      </c>
      <c r="W53" s="263">
        <v>-9.6000000000000002E-2</v>
      </c>
      <c r="X53" s="263">
        <v>-0.112</v>
      </c>
      <c r="Y53" s="263">
        <v>-0.13</v>
      </c>
      <c r="Z53" s="322">
        <v>-0.151</v>
      </c>
      <c r="AM53" s="269"/>
      <c r="AN53" s="269"/>
      <c r="AO53" s="269"/>
      <c r="AP53" s="269"/>
    </row>
    <row r="54" spans="1:42" ht="26.1" customHeight="1">
      <c r="A54" s="279" t="s">
        <v>218</v>
      </c>
      <c r="B54" s="277">
        <f>ROUND(B45*$B$159*$B$160*($B$31+1)*SIN(RADIANS(B34))/$B$30,4)</f>
        <v>9.7999999999999997E-3</v>
      </c>
      <c r="C54" s="277">
        <f t="shared" ref="C54:G54" si="126">ROUND(C45*$B$159*$B$160*($B$31+1)*SIN(RADIANS(C34))/$B$30,4)</f>
        <v>1.95E-2</v>
      </c>
      <c r="D54" s="277">
        <f t="shared" si="126"/>
        <v>5.6099999999999997E-2</v>
      </c>
      <c r="E54" s="277">
        <f t="shared" si="126"/>
        <v>7.2099999999999997E-2</v>
      </c>
      <c r="F54" s="277">
        <f t="shared" si="126"/>
        <v>4.7399999999999998E-2</v>
      </c>
      <c r="G54" s="277">
        <f t="shared" si="126"/>
        <v>5.6099999999999997E-2</v>
      </c>
      <c r="H54" s="277">
        <f t="shared" ref="H54" si="127">ROUND(H45*$B$159*$B$160*($B$31+1)*SIN(RADIANS(H34))/$B$30,4)</f>
        <v>9.7100000000000006E-2</v>
      </c>
      <c r="R54" s="263"/>
      <c r="T54" s="317">
        <v>1.2</v>
      </c>
      <c r="U54" s="263">
        <v>-6.6000000000000003E-2</v>
      </c>
      <c r="V54" s="263">
        <v>-7.8E-2</v>
      </c>
      <c r="W54" s="263">
        <v>-9.0999999999999998E-2</v>
      </c>
      <c r="X54" s="263">
        <v>-0.108</v>
      </c>
      <c r="Y54" s="263">
        <v>-0.126</v>
      </c>
      <c r="Z54" s="322">
        <v>-0.14699999999999999</v>
      </c>
      <c r="AM54" s="269"/>
      <c r="AN54" s="269"/>
      <c r="AO54" s="269"/>
      <c r="AP54" s="269"/>
    </row>
    <row r="55" spans="1:42" ht="26.1" customHeight="1">
      <c r="A55" s="295" t="s">
        <v>219</v>
      </c>
      <c r="B55" s="296">
        <f>B52+B53+B54</f>
        <v>7.7200000000000005E-2</v>
      </c>
      <c r="C55" s="296">
        <f t="shared" ref="C55:G55" si="128">C52+C53+C54</f>
        <v>0.15379999999999999</v>
      </c>
      <c r="D55" s="296">
        <f t="shared" si="128"/>
        <v>0.44280000000000003</v>
      </c>
      <c r="E55" s="296">
        <f t="shared" si="128"/>
        <v>0.56920000000000004</v>
      </c>
      <c r="F55" s="296">
        <f t="shared" si="128"/>
        <v>0.37430000000000002</v>
      </c>
      <c r="G55" s="296">
        <f t="shared" si="128"/>
        <v>0.44280000000000003</v>
      </c>
      <c r="H55" s="296">
        <f t="shared" ref="H55" si="129">H52+H53+H54</f>
        <v>0.76700000000000002</v>
      </c>
      <c r="R55" s="263"/>
      <c r="T55" s="318">
        <v>1.3</v>
      </c>
      <c r="U55" s="319">
        <v>-0.06</v>
      </c>
      <c r="V55" s="319">
        <v>-7.1999999999999995E-2</v>
      </c>
      <c r="W55" s="319">
        <v>-8.5999999999999993E-2</v>
      </c>
      <c r="X55" s="319">
        <v>-0.10299999999999999</v>
      </c>
      <c r="Y55" s="319">
        <v>-0.122</v>
      </c>
      <c r="Z55" s="323">
        <v>-0.14299999999999999</v>
      </c>
      <c r="AM55" s="269"/>
      <c r="AN55" s="269"/>
      <c r="AO55" s="269"/>
      <c r="AP55" s="269"/>
    </row>
    <row r="56" spans="1:42" ht="26.1" customHeight="1">
      <c r="A56" s="297" t="s">
        <v>220</v>
      </c>
      <c r="B56" s="298">
        <f>ABS(ROUND($G$28*B51*$B$29^2,4))</f>
        <v>6.4954999999999998</v>
      </c>
      <c r="C56" s="298">
        <f t="shared" ref="C56:G56" si="130">ABS(ROUND($G$28*C51*$B$29^2,4))</f>
        <v>7.6119000000000003</v>
      </c>
      <c r="D56" s="298">
        <f t="shared" si="130"/>
        <v>10.990500000000001</v>
      </c>
      <c r="E56" s="298">
        <f t="shared" si="130"/>
        <v>12.9884</v>
      </c>
      <c r="F56" s="298">
        <f t="shared" si="130"/>
        <v>9.9619999999999997</v>
      </c>
      <c r="G56" s="298">
        <f t="shared" si="130"/>
        <v>10.990500000000001</v>
      </c>
      <c r="H56" s="298">
        <f t="shared" ref="H56" si="131">ABS(ROUND($G$28*H51*$B$29^2,4))</f>
        <v>12.1389</v>
      </c>
      <c r="R56" s="263"/>
      <c r="T56" s="320"/>
      <c r="Z56" s="322"/>
      <c r="AM56" s="269"/>
      <c r="AN56" s="269"/>
      <c r="AO56" s="269"/>
      <c r="AP56" s="269"/>
    </row>
    <row r="57" spans="1:42" ht="26.1" customHeight="1">
      <c r="A57" s="297" t="s">
        <v>221</v>
      </c>
      <c r="B57" s="298">
        <f>ABS(ROUND($G$29*B51*$B$29^2,4))</f>
        <v>6.4954999999999998</v>
      </c>
      <c r="C57" s="298">
        <f t="shared" ref="C57:G57" si="132">ABS(ROUND($G$29*C51*$B$29^2,4))</f>
        <v>7.6119000000000003</v>
      </c>
      <c r="D57" s="298">
        <f t="shared" si="132"/>
        <v>10.990500000000001</v>
      </c>
      <c r="E57" s="298">
        <f t="shared" si="132"/>
        <v>12.9884</v>
      </c>
      <c r="F57" s="298">
        <f t="shared" si="132"/>
        <v>9.9619999999999997</v>
      </c>
      <c r="G57" s="298">
        <f t="shared" si="132"/>
        <v>10.990500000000001</v>
      </c>
      <c r="H57" s="298">
        <f t="shared" ref="H57" si="133">ABS(ROUND($G$29*H51*$B$29^2,4))</f>
        <v>12.1389</v>
      </c>
      <c r="R57" s="263"/>
      <c r="T57" s="314" t="s">
        <v>222</v>
      </c>
      <c r="U57" s="315"/>
      <c r="V57" s="315"/>
      <c r="W57" s="315"/>
      <c r="X57" s="315"/>
      <c r="Y57" s="315"/>
      <c r="Z57" s="321"/>
      <c r="AM57" s="269"/>
      <c r="AN57" s="269"/>
      <c r="AO57" s="269"/>
      <c r="AP57" s="269"/>
    </row>
    <row r="58" spans="1:42" ht="26.1" customHeight="1">
      <c r="A58" s="297" t="s">
        <v>223</v>
      </c>
      <c r="B58" s="298">
        <f>ROUND($G$30*B51*$B$28^2,4)</f>
        <v>5.1963999999999997</v>
      </c>
      <c r="C58" s="298">
        <f t="shared" ref="C58:G58" si="134">ROUND($G$30*C51*$B$28^2,4)</f>
        <v>6.0895999999999999</v>
      </c>
      <c r="D58" s="298">
        <f t="shared" si="134"/>
        <v>8.7924000000000007</v>
      </c>
      <c r="E58" s="298">
        <f t="shared" si="134"/>
        <v>10.390700000000001</v>
      </c>
      <c r="F58" s="298">
        <f t="shared" si="134"/>
        <v>7.9695999999999998</v>
      </c>
      <c r="G58" s="298">
        <f t="shared" si="134"/>
        <v>8.7924000000000007</v>
      </c>
      <c r="H58" s="298">
        <f t="shared" ref="H58" si="135">ROUND($G$30*H51*$B$28^2,4)</f>
        <v>9.7111000000000001</v>
      </c>
      <c r="L58" s="387" t="s">
        <v>224</v>
      </c>
      <c r="M58" s="388"/>
      <c r="N58" s="388"/>
      <c r="P58" s="43" t="s">
        <v>200</v>
      </c>
      <c r="Q58" s="263" t="s">
        <v>201</v>
      </c>
      <c r="R58" s="263"/>
      <c r="T58" s="316" t="s">
        <v>202</v>
      </c>
      <c r="U58" s="263">
        <v>0.8</v>
      </c>
      <c r="V58" s="263">
        <v>0.9</v>
      </c>
      <c r="W58" s="263">
        <v>1</v>
      </c>
      <c r="X58" s="263">
        <v>1.1000000000000001</v>
      </c>
      <c r="Y58" s="263">
        <v>1.2</v>
      </c>
      <c r="Z58" s="322">
        <v>1.3</v>
      </c>
      <c r="AM58" s="269"/>
      <c r="AN58" s="269"/>
      <c r="AO58" s="269"/>
      <c r="AP58" s="269"/>
    </row>
    <row r="59" spans="1:42" ht="26.1" customHeight="1">
      <c r="A59" s="297" t="s">
        <v>225</v>
      </c>
      <c r="B59" s="298">
        <f>ROUND($G$31*B51*$B$29^2,4)</f>
        <v>1.6238999999999999</v>
      </c>
      <c r="C59" s="298">
        <f t="shared" ref="C59:G59" si="136">ROUND($G$31*C51*$B$29^2,4)</f>
        <v>1.903</v>
      </c>
      <c r="D59" s="298">
        <f t="shared" si="136"/>
        <v>2.7475999999999998</v>
      </c>
      <c r="E59" s="298">
        <f t="shared" si="136"/>
        <v>3.2471000000000001</v>
      </c>
      <c r="F59" s="298">
        <f t="shared" si="136"/>
        <v>2.4904999999999999</v>
      </c>
      <c r="G59" s="298">
        <f t="shared" si="136"/>
        <v>2.7475999999999998</v>
      </c>
      <c r="H59" s="298">
        <f t="shared" ref="H59" si="137">ROUND($G$31*H51*$B$29^2,4)</f>
        <v>3.0347</v>
      </c>
      <c r="L59" s="277">
        <f>IF($E$28&lt;0.8,0,INDEX(T59:T64,MATCH($E$28,T59:T64),1))</f>
        <v>1</v>
      </c>
      <c r="M59" s="278">
        <f>IF($E$28&lt;0.8,0,INDEX(T59:T64,MATCH($E$28,T59:T64)+1,1))</f>
        <v>1.1000000000000001</v>
      </c>
      <c r="N59" s="277">
        <f>$E$28</f>
        <v>1</v>
      </c>
      <c r="P59" s="263">
        <f>IF($E$29&gt;1.3,0,IF($E$29&lt;0.8,0,INDEX(U58:Z58,1,MATCH($E$29,U58:Z58))))</f>
        <v>1</v>
      </c>
      <c r="Q59" s="263">
        <f>IF(P59=0.8,2,IF(P59=0.9,3,IF(P59=1,4,IF(P59=1.1,5,IF(P59=1.2,6,7)))))</f>
        <v>4</v>
      </c>
      <c r="R59" s="263"/>
      <c r="T59" s="317">
        <v>0.8</v>
      </c>
      <c r="U59" s="263">
        <v>6.9000000000000006E-2</v>
      </c>
      <c r="V59" s="263">
        <v>7.0999999999999994E-2</v>
      </c>
      <c r="W59" s="263">
        <v>7.2999999999999995E-2</v>
      </c>
      <c r="X59" s="263">
        <v>7.5999999999999998E-2</v>
      </c>
      <c r="Y59" s="263">
        <v>7.9000000000000001E-2</v>
      </c>
      <c r="Z59" s="322">
        <v>8.3000000000000004E-2</v>
      </c>
      <c r="AM59" s="269"/>
      <c r="AN59" s="269"/>
      <c r="AO59" s="269"/>
      <c r="AP59" s="269"/>
    </row>
    <row r="60" spans="1:42" ht="26.1" customHeight="1">
      <c r="A60" s="297" t="s">
        <v>226</v>
      </c>
      <c r="B60" s="298">
        <f>ROUND($G$32*B51*$B$30^2,4)</f>
        <v>5.1963999999999997</v>
      </c>
      <c r="C60" s="298">
        <f t="shared" ref="C60:G60" si="138">ROUND($G$32*C51*$B$30^2,4)</f>
        <v>6.0895999999999999</v>
      </c>
      <c r="D60" s="298">
        <f t="shared" si="138"/>
        <v>8.7924000000000007</v>
      </c>
      <c r="E60" s="298">
        <f t="shared" si="138"/>
        <v>10.390700000000001</v>
      </c>
      <c r="F60" s="298">
        <f t="shared" si="138"/>
        <v>7.9695999999999998</v>
      </c>
      <c r="G60" s="298">
        <f t="shared" si="138"/>
        <v>8.7924000000000007</v>
      </c>
      <c r="H60" s="298">
        <f t="shared" ref="H60" si="139">ROUND($G$32*H51*$B$30^2,4)</f>
        <v>9.7111000000000001</v>
      </c>
      <c r="L60" s="277">
        <f>VLOOKUP(L59,T58:Z64,Q59,FALSE)</f>
        <v>0.08</v>
      </c>
      <c r="M60" s="277">
        <f>VLOOKUP(L59,T58:Z64,Q60,FALSE)</f>
        <v>8.2000000000000003E-2</v>
      </c>
      <c r="N60" s="296">
        <f>TREND(L60:M60,L59:M59,N59)</f>
        <v>0.08</v>
      </c>
      <c r="P60" s="263">
        <f>IF(P59&lt;0.8,0,IF(P59&gt;1.3,0,(INDEX(U58:Z58,1,MATCH(P59,U58:Z58)+1))))</f>
        <v>1.1000000000000001</v>
      </c>
      <c r="Q60" s="263">
        <f>IF(P60=0.8,2,IF(P60=0.9,3,IF(P60=1,4,IF(P60=1.1,5,IF(P60=1.2,6,7)))))</f>
        <v>5</v>
      </c>
      <c r="R60" s="263"/>
      <c r="T60" s="317">
        <v>0.9</v>
      </c>
      <c r="U60" s="263">
        <v>7.3999999999999996E-2</v>
      </c>
      <c r="V60" s="263">
        <v>7.5999999999999998E-2</v>
      </c>
      <c r="W60" s="263">
        <v>7.6999999999999999E-2</v>
      </c>
      <c r="X60" s="263">
        <v>0.08</v>
      </c>
      <c r="Y60" s="263">
        <v>8.1000000000000003E-2</v>
      </c>
      <c r="Z60" s="322">
        <v>8.5000000000000006E-2</v>
      </c>
      <c r="AM60" s="269"/>
      <c r="AN60" s="269"/>
      <c r="AO60" s="269"/>
      <c r="AP60" s="269"/>
    </row>
    <row r="61" spans="1:42" ht="26.1" customHeight="1">
      <c r="A61" s="299" t="s">
        <v>227</v>
      </c>
      <c r="B61" s="300">
        <f>ABS(ROUND($G$28*B55*$B$29^2,4))</f>
        <v>0.41139999999999999</v>
      </c>
      <c r="C61" s="300">
        <f t="shared" ref="C61:G61" si="140">ABS(ROUND($G$28*C55*$B$29^2,4))</f>
        <v>0.8196</v>
      </c>
      <c r="D61" s="300">
        <f t="shared" si="140"/>
        <v>2.3597000000000001</v>
      </c>
      <c r="E61" s="300">
        <f t="shared" si="140"/>
        <v>3.0333000000000001</v>
      </c>
      <c r="F61" s="300">
        <f t="shared" si="140"/>
        <v>1.9945999999999999</v>
      </c>
      <c r="G61" s="300">
        <f t="shared" si="140"/>
        <v>2.3597000000000001</v>
      </c>
      <c r="H61" s="300">
        <f t="shared" ref="H61" si="141">ABS(ROUND($G$28*H55*$B$29^2,4))</f>
        <v>4.0872999999999999</v>
      </c>
      <c r="R61" s="263"/>
      <c r="T61" s="317">
        <v>1</v>
      </c>
      <c r="U61" s="263">
        <v>7.8E-2</v>
      </c>
      <c r="V61" s="263">
        <v>7.9000000000000001E-2</v>
      </c>
      <c r="W61" s="263">
        <v>0.08</v>
      </c>
      <c r="X61" s="263">
        <v>8.2000000000000003E-2</v>
      </c>
      <c r="Y61" s="263">
        <v>8.4000000000000005E-2</v>
      </c>
      <c r="Z61" s="322">
        <v>8.3000000000000004E-2</v>
      </c>
      <c r="AM61" s="269"/>
      <c r="AN61" s="269"/>
      <c r="AO61" s="269"/>
      <c r="AP61" s="269"/>
    </row>
    <row r="62" spans="1:42" ht="26.1" customHeight="1">
      <c r="A62" s="299" t="s">
        <v>228</v>
      </c>
      <c r="B62" s="300">
        <f>ABS(ROUND($G$29*B55*$B$29^2,4))</f>
        <v>0.41139999999999999</v>
      </c>
      <c r="C62" s="300">
        <f t="shared" ref="C62:G62" si="142">ABS(ROUND($G$29*C55*$B$29^2,4))</f>
        <v>0.8196</v>
      </c>
      <c r="D62" s="300">
        <f t="shared" si="142"/>
        <v>2.3597000000000001</v>
      </c>
      <c r="E62" s="300">
        <f t="shared" si="142"/>
        <v>3.0333000000000001</v>
      </c>
      <c r="F62" s="300">
        <f t="shared" si="142"/>
        <v>1.9945999999999999</v>
      </c>
      <c r="G62" s="300">
        <f t="shared" si="142"/>
        <v>2.3597000000000001</v>
      </c>
      <c r="H62" s="300">
        <f t="shared" ref="H62" si="143">ABS(ROUND($G$29*H55*$B$29^2,4))</f>
        <v>4.0872999999999999</v>
      </c>
      <c r="R62" s="263"/>
      <c r="T62" s="317">
        <v>1.1000000000000001</v>
      </c>
      <c r="U62" s="263">
        <v>0.08</v>
      </c>
      <c r="V62" s="263">
        <v>8.1000000000000003E-2</v>
      </c>
      <c r="W62" s="263">
        <v>8.2000000000000003E-2</v>
      </c>
      <c r="X62" s="263">
        <v>8.3000000000000004E-2</v>
      </c>
      <c r="Y62" s="263">
        <v>8.4000000000000005E-2</v>
      </c>
      <c r="Z62" s="322">
        <v>8.5999999999999993E-2</v>
      </c>
      <c r="AM62" s="269"/>
      <c r="AN62" s="269"/>
      <c r="AO62" s="269"/>
      <c r="AP62" s="269"/>
    </row>
    <row r="63" spans="1:42" ht="26.1" customHeight="1">
      <c r="A63" s="299" t="s">
        <v>229</v>
      </c>
      <c r="B63" s="300">
        <f>ABS(ROUND($G$30*B55*$B$28^2,4))</f>
        <v>0.3291</v>
      </c>
      <c r="C63" s="300">
        <f t="shared" ref="C63:G63" si="144">ABS(ROUND($G$30*C55*$B$28^2,4))</f>
        <v>0.65569999999999995</v>
      </c>
      <c r="D63" s="300">
        <f t="shared" si="144"/>
        <v>1.8876999999999999</v>
      </c>
      <c r="E63" s="300">
        <f t="shared" si="144"/>
        <v>2.4266000000000001</v>
      </c>
      <c r="F63" s="300">
        <f t="shared" si="144"/>
        <v>1.5956999999999999</v>
      </c>
      <c r="G63" s="300">
        <f t="shared" si="144"/>
        <v>1.8876999999999999</v>
      </c>
      <c r="H63" s="300">
        <f t="shared" ref="H63" si="145">ABS(ROUND($G$30*H55*$B$28^2,4))</f>
        <v>3.2698999999999998</v>
      </c>
      <c r="R63" s="263"/>
      <c r="T63" s="317">
        <v>1.2</v>
      </c>
      <c r="U63" s="263">
        <v>8.1000000000000003E-2</v>
      </c>
      <c r="V63" s="263">
        <v>8.2000000000000003E-2</v>
      </c>
      <c r="W63" s="263">
        <v>8.3000000000000004E-2</v>
      </c>
      <c r="X63" s="263">
        <v>8.4000000000000005E-2</v>
      </c>
      <c r="Y63" s="263">
        <v>8.5000000000000006E-2</v>
      </c>
      <c r="Z63" s="322">
        <v>8.5999999999999993E-2</v>
      </c>
      <c r="AM63" s="269"/>
      <c r="AN63" s="269"/>
      <c r="AO63" s="269"/>
      <c r="AP63" s="269"/>
    </row>
    <row r="64" spans="1:42" ht="26.1" customHeight="1">
      <c r="A64" s="299" t="s">
        <v>230</v>
      </c>
      <c r="B64" s="300">
        <f>ABS(ROUND($G$31*B55*$B$29^2,4))</f>
        <v>0.1028</v>
      </c>
      <c r="C64" s="300">
        <f t="shared" ref="C64:G64" si="146">ABS(ROUND($G$31*C55*$B$29^2,4))</f>
        <v>0.2049</v>
      </c>
      <c r="D64" s="300">
        <f t="shared" si="146"/>
        <v>0.58989999999999998</v>
      </c>
      <c r="E64" s="300">
        <f t="shared" si="146"/>
        <v>0.75829999999999997</v>
      </c>
      <c r="F64" s="300">
        <f t="shared" si="146"/>
        <v>0.49869999999999998</v>
      </c>
      <c r="G64" s="300">
        <f t="shared" si="146"/>
        <v>0.58989999999999998</v>
      </c>
      <c r="H64" s="300">
        <f t="shared" ref="H64" si="147">ABS(ROUND($G$31*H55*$B$29^2,4))</f>
        <v>1.0218</v>
      </c>
      <c r="R64" s="263"/>
      <c r="T64" s="318">
        <v>1.3</v>
      </c>
      <c r="U64" s="319">
        <v>8.3000000000000004E-2</v>
      </c>
      <c r="V64" s="319">
        <v>8.5000000000000006E-2</v>
      </c>
      <c r="W64" s="319">
        <v>8.5999999999999993E-2</v>
      </c>
      <c r="X64" s="319">
        <v>8.5999999999999993E-2</v>
      </c>
      <c r="Y64" s="319">
        <v>8.5999999999999993E-2</v>
      </c>
      <c r="Z64" s="323">
        <v>8.5999999999999993E-2</v>
      </c>
      <c r="AM64" s="269"/>
      <c r="AN64" s="269"/>
      <c r="AO64" s="269"/>
      <c r="AP64" s="269"/>
    </row>
    <row r="65" spans="1:42" ht="26.1" customHeight="1">
      <c r="A65" s="299" t="s">
        <v>231</v>
      </c>
      <c r="B65" s="300">
        <f>ABS(ROUND($G$32*B55*$B$30^2,4))</f>
        <v>0.3291</v>
      </c>
      <c r="C65" s="300">
        <f t="shared" ref="C65:G65" si="148">ABS(ROUND($G$32*C55*$B$30^2,4))</f>
        <v>0.65569999999999995</v>
      </c>
      <c r="D65" s="300">
        <f t="shared" si="148"/>
        <v>1.8876999999999999</v>
      </c>
      <c r="E65" s="300">
        <f t="shared" si="148"/>
        <v>2.4266000000000001</v>
      </c>
      <c r="F65" s="300">
        <f t="shared" si="148"/>
        <v>1.5956999999999999</v>
      </c>
      <c r="G65" s="300">
        <f t="shared" si="148"/>
        <v>1.8876999999999999</v>
      </c>
      <c r="H65" s="300">
        <f t="shared" ref="H65" si="149">ABS(ROUND($G$32*H55*$B$30^2,4))</f>
        <v>3.2698999999999998</v>
      </c>
      <c r="R65" s="263"/>
      <c r="T65" s="317"/>
      <c r="Z65" s="322"/>
      <c r="AM65" s="269"/>
      <c r="AN65" s="269"/>
      <c r="AO65" s="269"/>
      <c r="AP65" s="269"/>
    </row>
    <row r="66" spans="1:42" ht="26.1" customHeight="1">
      <c r="A66" s="301" t="s">
        <v>232</v>
      </c>
      <c r="B66" s="302">
        <f>ABS(ROUND(-(0.5-$G$28/($E$28^2))*B51*$B$28,4))</f>
        <v>5.3388</v>
      </c>
      <c r="C66" s="302">
        <f t="shared" ref="C66:G66" si="150">ABS(ROUND(-(0.5-$G$28/($E$28^2))*C51*$B$28,4))</f>
        <v>6.2564000000000002</v>
      </c>
      <c r="D66" s="302">
        <f t="shared" si="150"/>
        <v>9.0333000000000006</v>
      </c>
      <c r="E66" s="302">
        <f t="shared" si="150"/>
        <v>10.6754</v>
      </c>
      <c r="F66" s="302">
        <f t="shared" si="150"/>
        <v>8.1880000000000006</v>
      </c>
      <c r="G66" s="302">
        <f t="shared" si="150"/>
        <v>9.0333000000000006</v>
      </c>
      <c r="H66" s="302">
        <f t="shared" ref="H66" si="151">ABS(ROUND(-(0.5-$G$28/($E$28^2))*H51*$B$28,4))</f>
        <v>9.9771999999999998</v>
      </c>
      <c r="R66" s="263"/>
      <c r="T66" s="314" t="s">
        <v>233</v>
      </c>
      <c r="U66" s="315"/>
      <c r="V66" s="315"/>
      <c r="W66" s="315"/>
      <c r="X66" s="315"/>
      <c r="Y66" s="315"/>
      <c r="Z66" s="321"/>
      <c r="AM66" s="269"/>
      <c r="AN66" s="269"/>
      <c r="AO66" s="269"/>
      <c r="AP66" s="269"/>
    </row>
    <row r="67" spans="1:42" ht="26.1" customHeight="1">
      <c r="A67" s="301" t="s">
        <v>234</v>
      </c>
      <c r="B67" s="302">
        <f>ABS(ROUND((0.5-$G$28+$G$29)*B51*$B$29,4))</f>
        <v>4.4489999999999998</v>
      </c>
      <c r="C67" s="302">
        <f t="shared" ref="C67:G67" si="152">ABS(ROUND((0.5-$G$28+$G$29)*C51*$B$29,4))</f>
        <v>5.2137000000000002</v>
      </c>
      <c r="D67" s="302">
        <f t="shared" si="152"/>
        <v>7.5278</v>
      </c>
      <c r="E67" s="302">
        <f t="shared" si="152"/>
        <v>8.8961000000000006</v>
      </c>
      <c r="F67" s="302">
        <f t="shared" si="152"/>
        <v>6.8232999999999997</v>
      </c>
      <c r="G67" s="302">
        <f t="shared" si="152"/>
        <v>7.5278</v>
      </c>
      <c r="H67" s="302">
        <f t="shared" ref="H67" si="153">ABS(ROUND((0.5-$G$28+$G$29)*H51*$B$29,4))</f>
        <v>8.3142999999999994</v>
      </c>
      <c r="L67" s="387" t="s">
        <v>235</v>
      </c>
      <c r="M67" s="388"/>
      <c r="N67" s="388"/>
      <c r="P67" s="43" t="s">
        <v>200</v>
      </c>
      <c r="Q67" s="263" t="s">
        <v>201</v>
      </c>
      <c r="R67" s="263"/>
      <c r="T67" s="316" t="s">
        <v>202</v>
      </c>
      <c r="U67" s="263">
        <v>0.8</v>
      </c>
      <c r="V67" s="263">
        <v>0.9</v>
      </c>
      <c r="W67" s="263">
        <v>1</v>
      </c>
      <c r="X67" s="263">
        <v>1.1000000000000001</v>
      </c>
      <c r="Y67" s="263">
        <v>1.2</v>
      </c>
      <c r="Z67" s="322">
        <v>1.3</v>
      </c>
      <c r="AM67" s="269"/>
      <c r="AN67" s="269"/>
      <c r="AO67" s="269"/>
      <c r="AP67" s="269"/>
    </row>
    <row r="68" spans="1:42" ht="26.1" customHeight="1">
      <c r="A68" s="301" t="s">
        <v>236</v>
      </c>
      <c r="B68" s="302">
        <f>ABS(ROUND(-(0.5+$G$28-$G$29)*B51*$B$29,4))</f>
        <v>4.4489999999999998</v>
      </c>
      <c r="C68" s="302">
        <f t="shared" ref="C68:G68" si="154">ABS(ROUND(-(0.5+$G$28-$G$29)*C51*$B$29,4))</f>
        <v>5.2137000000000002</v>
      </c>
      <c r="D68" s="302">
        <f t="shared" si="154"/>
        <v>7.5278</v>
      </c>
      <c r="E68" s="302">
        <f t="shared" si="154"/>
        <v>8.8961000000000006</v>
      </c>
      <c r="F68" s="302">
        <f t="shared" si="154"/>
        <v>6.8232999999999997</v>
      </c>
      <c r="G68" s="302">
        <f t="shared" si="154"/>
        <v>7.5278</v>
      </c>
      <c r="H68" s="302">
        <f t="shared" ref="H68" si="155">ABS(ROUND(-(0.5+$G$28-$G$29)*H51*$B$29,4))</f>
        <v>8.3142999999999994</v>
      </c>
      <c r="L68" s="277">
        <f>IF($E$28&lt;0.8,0,INDEX(T68:T73,MATCH($E$28,T68:T73),1))</f>
        <v>1</v>
      </c>
      <c r="M68" s="278">
        <f>IF($E$28&lt;0.8,0,INDEX(T68:T73,MATCH($E$28,T68:T73)+1,1))</f>
        <v>1.1000000000000001</v>
      </c>
      <c r="N68" s="277">
        <f>$E$28</f>
        <v>1</v>
      </c>
      <c r="P68" s="263">
        <f>IF($E$29&gt;1.3,0,IF($E$29&lt;0.8,0,INDEX(U67:Z67,1,MATCH($E$29,U67:Z67))))</f>
        <v>1</v>
      </c>
      <c r="Q68" s="263">
        <f>IF(P68=0.8,2,IF(P68=0.9,3,IF(P68=1,4,IF(P68=1.1,5,IF(P68=1.2,6,7)))))</f>
        <v>4</v>
      </c>
      <c r="R68" s="263"/>
      <c r="T68" s="317">
        <v>0.8</v>
      </c>
      <c r="U68" s="263">
        <v>4.2999999999999997E-2</v>
      </c>
      <c r="V68" s="263">
        <v>3.9E-2</v>
      </c>
      <c r="W68" s="263">
        <v>3.4000000000000002E-2</v>
      </c>
      <c r="X68" s="263">
        <v>0.03</v>
      </c>
      <c r="Y68" s="263">
        <v>2.5000000000000001E-2</v>
      </c>
      <c r="Z68" s="322">
        <v>0.02</v>
      </c>
      <c r="AM68" s="269"/>
      <c r="AN68" s="269"/>
      <c r="AO68" s="269"/>
      <c r="AP68" s="269"/>
    </row>
    <row r="69" spans="1:42" ht="26.1" customHeight="1">
      <c r="A69" s="301" t="s">
        <v>237</v>
      </c>
      <c r="B69" s="302">
        <f>ABS(ROUND((0.5-$G$29/($E$29^2))*B51*$B$30,4))</f>
        <v>5.3388</v>
      </c>
      <c r="C69" s="302">
        <f t="shared" ref="C69:G69" si="156">ABS(ROUND((0.5-$G$29/($E$29^2))*C51*$B$30,4))</f>
        <v>6.2564000000000002</v>
      </c>
      <c r="D69" s="302">
        <f t="shared" si="156"/>
        <v>9.0333000000000006</v>
      </c>
      <c r="E69" s="302">
        <f t="shared" si="156"/>
        <v>10.6754</v>
      </c>
      <c r="F69" s="302">
        <f t="shared" si="156"/>
        <v>8.1880000000000006</v>
      </c>
      <c r="G69" s="302">
        <f t="shared" si="156"/>
        <v>9.0333000000000006</v>
      </c>
      <c r="H69" s="302">
        <f t="shared" ref="H69" si="157">ABS(ROUND((0.5-$G$29/($E$29^2))*H51*$B$30,4))</f>
        <v>9.9771999999999998</v>
      </c>
      <c r="L69" s="277">
        <f>VLOOKUP(L68,T67:Z73,Q68,FALSE)</f>
        <v>2.5000000000000001E-2</v>
      </c>
      <c r="M69" s="277">
        <f>VLOOKUP(L68,T67:Z73,Q69,FALSE)</f>
        <v>1.9E-2</v>
      </c>
      <c r="N69" s="296">
        <f>TREND(L69:M69,L68:M68,N68)</f>
        <v>2.5000000000000001E-2</v>
      </c>
      <c r="P69" s="263">
        <f>IF(P68&lt;0.8,0,IF(P68&gt;1.3,0,(INDEX(U67:Z67,1,MATCH(P68,U67:Z67)+1))))</f>
        <v>1.1000000000000001</v>
      </c>
      <c r="Q69" s="263">
        <f>IF(P69=0.8,2,IF(P69=0.9,3,IF(P69=1,4,IF(P69=1.1,5,IF(P69=1.2,6,7)))))</f>
        <v>5</v>
      </c>
      <c r="R69" s="263"/>
      <c r="T69" s="317">
        <v>0.9</v>
      </c>
      <c r="U69" s="263">
        <v>3.9E-2</v>
      </c>
      <c r="V69" s="263">
        <v>3.5000000000000003E-2</v>
      </c>
      <c r="W69" s="263">
        <v>0.03</v>
      </c>
      <c r="X69" s="263">
        <v>2.5000000000000001E-2</v>
      </c>
      <c r="Y69" s="263">
        <v>1.9E-2</v>
      </c>
      <c r="Z69" s="322">
        <v>1.4E-2</v>
      </c>
      <c r="AM69" s="269"/>
      <c r="AN69" s="269"/>
      <c r="AO69" s="269"/>
      <c r="AP69" s="269"/>
    </row>
    <row r="70" spans="1:42" ht="26.1" customHeight="1">
      <c r="A70" s="304" t="s">
        <v>238</v>
      </c>
      <c r="B70" s="305">
        <f>ROUND(-(0.5-$G$28/($E$28^2))*B55*$B$28,4)</f>
        <v>-0.33810000000000001</v>
      </c>
      <c r="C70" s="305">
        <f>ABS(ROUND(-(0.5-$G$28/($E$28^2))*C55*$B$28,4))</f>
        <v>0.67359999999999998</v>
      </c>
      <c r="D70" s="305">
        <f t="shared" ref="D70:G70" si="158">ABS(ROUND(-(0.5-$G$28/($E$28^2))*D55*$B$28,4))</f>
        <v>1.9395</v>
      </c>
      <c r="E70" s="305">
        <f t="shared" si="158"/>
        <v>2.4931000000000001</v>
      </c>
      <c r="F70" s="305">
        <f t="shared" si="158"/>
        <v>1.6394</v>
      </c>
      <c r="G70" s="305">
        <f t="shared" si="158"/>
        <v>1.9395</v>
      </c>
      <c r="H70" s="305">
        <f t="shared" ref="H70" si="159">ABS(ROUND(-(0.5-$G$28/($E$28^2))*H55*$B$28,4))</f>
        <v>3.3595000000000002</v>
      </c>
      <c r="R70" s="263"/>
      <c r="T70" s="317">
        <v>1</v>
      </c>
      <c r="U70" s="263">
        <v>3.4000000000000002E-2</v>
      </c>
      <c r="V70" s="263">
        <v>0.03</v>
      </c>
      <c r="W70" s="263">
        <v>2.5000000000000001E-2</v>
      </c>
      <c r="X70" s="263">
        <v>1.9E-2</v>
      </c>
      <c r="Y70" s="263">
        <v>1.2999999999999999E-2</v>
      </c>
      <c r="Z70" s="322">
        <v>7.0000000000000001E-3</v>
      </c>
      <c r="AM70" s="269"/>
      <c r="AN70" s="269"/>
      <c r="AO70" s="269"/>
      <c r="AP70" s="269"/>
    </row>
    <row r="71" spans="1:42" ht="26.1" customHeight="1">
      <c r="A71" s="304" t="s">
        <v>239</v>
      </c>
      <c r="B71" s="305">
        <f>ROUND((0.5-$G$28+$G$29)*B55*$B$29,4)</f>
        <v>0.28179999999999999</v>
      </c>
      <c r="C71" s="305">
        <f>ABS(ROUND((0.5-$G$28+$G$29)*C55*$B$29,4))</f>
        <v>0.56140000000000001</v>
      </c>
      <c r="D71" s="305">
        <f t="shared" ref="D71:G71" si="160">ABS(ROUND((0.5-$G$28+$G$29)*D55*$B$29,4))</f>
        <v>1.6162000000000001</v>
      </c>
      <c r="E71" s="305">
        <f t="shared" si="160"/>
        <v>2.0775999999999999</v>
      </c>
      <c r="F71" s="305">
        <f t="shared" si="160"/>
        <v>1.3662000000000001</v>
      </c>
      <c r="G71" s="305">
        <f t="shared" si="160"/>
        <v>1.6162000000000001</v>
      </c>
      <c r="H71" s="305">
        <f t="shared" ref="H71" si="161">ABS(ROUND((0.5-$G$28+$G$29)*H55*$B$29,4))</f>
        <v>2.7995999999999999</v>
      </c>
      <c r="R71" s="263"/>
      <c r="T71" s="317">
        <v>1.1000000000000001</v>
      </c>
      <c r="U71" s="263">
        <v>0.03</v>
      </c>
      <c r="V71" s="263">
        <v>2.5000000000000001E-2</v>
      </c>
      <c r="W71" s="263">
        <v>1.9E-2</v>
      </c>
      <c r="X71" s="263">
        <v>1.2999999999999999E-2</v>
      </c>
      <c r="Y71" s="263">
        <v>6.0000000000000001E-3</v>
      </c>
      <c r="Z71" s="322">
        <v>-1E-3</v>
      </c>
      <c r="AM71" s="269"/>
      <c r="AN71" s="269"/>
      <c r="AO71" s="269"/>
      <c r="AP71" s="269"/>
    </row>
    <row r="72" spans="1:42" ht="26.1" customHeight="1">
      <c r="A72" s="304" t="s">
        <v>240</v>
      </c>
      <c r="B72" s="305">
        <f>ROUND(-(0.5+$G$28-$G$29)*B55*$B$29,4)</f>
        <v>-0.28179999999999999</v>
      </c>
      <c r="C72" s="305">
        <f>ABS(ROUND(-(0.5+$G$28-$G$29)*C55*$B$29,4))</f>
        <v>0.56140000000000001</v>
      </c>
      <c r="D72" s="305">
        <f t="shared" ref="D72:G72" si="162">ABS(ROUND(-(0.5+$G$28-$G$29)*D55*$B$29,4))</f>
        <v>1.6162000000000001</v>
      </c>
      <c r="E72" s="305">
        <f t="shared" si="162"/>
        <v>2.0775999999999999</v>
      </c>
      <c r="F72" s="305">
        <f t="shared" si="162"/>
        <v>1.3662000000000001</v>
      </c>
      <c r="G72" s="305">
        <f t="shared" si="162"/>
        <v>1.6162000000000001</v>
      </c>
      <c r="H72" s="305">
        <f t="shared" ref="H72" si="163">ABS(ROUND(-(0.5+$G$28-$G$29)*H55*$B$29,4))</f>
        <v>2.7995999999999999</v>
      </c>
      <c r="R72" s="263"/>
      <c r="T72" s="317">
        <v>1.2</v>
      </c>
      <c r="U72" s="263">
        <v>2.5000000000000001E-2</v>
      </c>
      <c r="V72" s="263">
        <v>1.9E-2</v>
      </c>
      <c r="W72" s="263">
        <v>1.2999999999999999E-2</v>
      </c>
      <c r="X72" s="263">
        <v>6.0000000000000001E-3</v>
      </c>
      <c r="Y72" s="263">
        <v>-1E-3</v>
      </c>
      <c r="Z72" s="322">
        <v>-8.9999999999999993E-3</v>
      </c>
      <c r="AM72" s="269"/>
      <c r="AN72" s="269"/>
      <c r="AO72" s="269"/>
      <c r="AP72" s="269"/>
    </row>
    <row r="73" spans="1:42" ht="26.1" customHeight="1">
      <c r="A73" s="304" t="s">
        <v>241</v>
      </c>
      <c r="B73" s="305">
        <f>ROUND((0.5-$G$29/($E$29^2))*B55*$B$30,4)</f>
        <v>0.33810000000000001</v>
      </c>
      <c r="C73" s="305">
        <f>ABS(ROUND((0.5-$G$29/($E$29^2))*C55*$B$30,4))</f>
        <v>0.67359999999999998</v>
      </c>
      <c r="D73" s="305">
        <f t="shared" ref="D73:G73" si="164">ABS(ROUND((0.5-$G$29/($E$29^2))*D55*$B$30,4))</f>
        <v>1.9395</v>
      </c>
      <c r="E73" s="305">
        <f t="shared" si="164"/>
        <v>2.4931000000000001</v>
      </c>
      <c r="F73" s="305">
        <f t="shared" si="164"/>
        <v>1.6394</v>
      </c>
      <c r="G73" s="305">
        <f t="shared" si="164"/>
        <v>1.9395</v>
      </c>
      <c r="H73" s="305">
        <f t="shared" ref="H73" si="165">ABS(ROUND((0.5-$G$29/($E$29^2))*H55*$B$30,4))</f>
        <v>3.3595000000000002</v>
      </c>
      <c r="R73" s="263"/>
      <c r="T73" s="318">
        <v>1.3</v>
      </c>
      <c r="U73" s="319">
        <v>0.02</v>
      </c>
      <c r="V73" s="319">
        <v>1.4E-2</v>
      </c>
      <c r="W73" s="319">
        <v>7.0000000000000001E-3</v>
      </c>
      <c r="X73" s="319">
        <v>-1E-3</v>
      </c>
      <c r="Y73" s="319">
        <v>-8.9999999999999993E-3</v>
      </c>
      <c r="Z73" s="323">
        <v>-1.7999999999999999E-2</v>
      </c>
      <c r="AM73" s="269"/>
      <c r="AN73" s="269"/>
      <c r="AO73" s="269"/>
      <c r="AP73" s="269"/>
    </row>
    <row r="74" spans="1:42" ht="26.1" customHeight="1">
      <c r="A74" s="277" t="s">
        <v>242</v>
      </c>
      <c r="B74" s="277">
        <f t="shared" ref="B74:H74" si="166">$B$33*$B$6*$B$32/100</f>
        <v>0.28799999999999998</v>
      </c>
      <c r="C74" s="277">
        <f t="shared" si="166"/>
        <v>0.28799999999999998</v>
      </c>
      <c r="D74" s="277">
        <f t="shared" si="166"/>
        <v>0.28799999999999998</v>
      </c>
      <c r="E74" s="277">
        <f t="shared" si="166"/>
        <v>0.28799999999999998</v>
      </c>
      <c r="F74" s="277">
        <f t="shared" si="166"/>
        <v>0.28799999999999998</v>
      </c>
      <c r="G74" s="277">
        <f t="shared" si="166"/>
        <v>0.28799999999999998</v>
      </c>
      <c r="H74" s="277">
        <f t="shared" si="166"/>
        <v>0.28799999999999998</v>
      </c>
      <c r="R74" s="263"/>
      <c r="T74" s="317"/>
      <c r="Z74" s="322"/>
      <c r="AM74" s="269"/>
      <c r="AN74" s="269"/>
      <c r="AO74" s="269"/>
      <c r="AP74" s="269"/>
    </row>
    <row r="75" spans="1:42" ht="26.1" customHeight="1">
      <c r="A75" s="277" t="s">
        <v>243</v>
      </c>
      <c r="B75" s="277">
        <f t="shared" ref="B75:G75" si="167">ROUND(B37*$B$9*$B$8*$B$33*B44*B40*B41,4)</f>
        <v>0.73129999999999995</v>
      </c>
      <c r="C75" s="277">
        <f t="shared" si="167"/>
        <v>1.0197000000000001</v>
      </c>
      <c r="D75" s="277">
        <f t="shared" si="167"/>
        <v>2.0175000000000001</v>
      </c>
      <c r="E75" s="277">
        <f t="shared" si="167"/>
        <v>2.4462000000000002</v>
      </c>
      <c r="F75" s="277">
        <f t="shared" si="167"/>
        <v>1.6140000000000001</v>
      </c>
      <c r="G75" s="277">
        <f t="shared" si="167"/>
        <v>2.0175000000000001</v>
      </c>
      <c r="H75" s="277">
        <f t="shared" ref="H75" si="168">ROUND(H37*$B$9*$B$8*$B$33*H44*H40*H41,4)</f>
        <v>1.6392</v>
      </c>
      <c r="R75" s="263"/>
      <c r="T75" s="314" t="s">
        <v>244</v>
      </c>
      <c r="U75" s="315"/>
      <c r="V75" s="315"/>
      <c r="W75" s="315"/>
      <c r="X75" s="315"/>
      <c r="Y75" s="315"/>
      <c r="Z75" s="321"/>
      <c r="AM75" s="269"/>
      <c r="AN75" s="269"/>
      <c r="AO75" s="269"/>
      <c r="AP75" s="269"/>
    </row>
    <row r="76" spans="1:42" ht="26.1" customHeight="1">
      <c r="A76" s="277" t="s">
        <v>245</v>
      </c>
      <c r="B76" s="277">
        <f>B74+B75</f>
        <v>1.0193000000000001</v>
      </c>
      <c r="C76" s="277">
        <f t="shared" ref="C76:G76" si="169">C74+C75</f>
        <v>1.3077000000000001</v>
      </c>
      <c r="D76" s="277">
        <f t="shared" si="169"/>
        <v>2.3054999999999999</v>
      </c>
      <c r="E76" s="277">
        <f t="shared" si="169"/>
        <v>2.7342</v>
      </c>
      <c r="F76" s="277">
        <f t="shared" si="169"/>
        <v>1.9019999999999999</v>
      </c>
      <c r="G76" s="277">
        <f t="shared" si="169"/>
        <v>2.3054999999999999</v>
      </c>
      <c r="H76" s="277">
        <f t="shared" ref="H76" si="170">H74+H75</f>
        <v>1.9272</v>
      </c>
      <c r="L76" s="387" t="s">
        <v>246</v>
      </c>
      <c r="M76" s="388"/>
      <c r="N76" s="388"/>
      <c r="P76" s="43" t="s">
        <v>200</v>
      </c>
      <c r="Q76" s="263" t="s">
        <v>201</v>
      </c>
      <c r="R76" s="263"/>
      <c r="T76" s="316" t="s">
        <v>202</v>
      </c>
      <c r="U76" s="263">
        <v>0.8</v>
      </c>
      <c r="V76" s="263">
        <v>0.9</v>
      </c>
      <c r="W76" s="263">
        <v>1</v>
      </c>
      <c r="X76" s="263">
        <v>1.1000000000000001</v>
      </c>
      <c r="Y76" s="263">
        <v>1.2</v>
      </c>
      <c r="Z76" s="322">
        <v>1.3</v>
      </c>
      <c r="AM76" s="269"/>
      <c r="AN76" s="269"/>
      <c r="AO76" s="269"/>
      <c r="AP76" s="269"/>
    </row>
    <row r="77" spans="1:42" ht="26.1" customHeight="1">
      <c r="A77" s="389" t="s">
        <v>247</v>
      </c>
      <c r="B77" s="389"/>
      <c r="C77" s="389"/>
      <c r="D77" s="389"/>
      <c r="E77" s="389"/>
      <c r="F77" s="389"/>
      <c r="G77" s="389"/>
      <c r="H77" s="389"/>
      <c r="L77" s="277">
        <f>IF($E$28&lt;0.8,0,INDEX(T77:T82,MATCH($E$28,T77:T82),1))</f>
        <v>1</v>
      </c>
      <c r="M77" s="278">
        <f>IF($E$28&lt;0.8,0,INDEX(T77:T82,MATCH($E$28,T77:T82)+1,1))</f>
        <v>1.1000000000000001</v>
      </c>
      <c r="N77" s="277">
        <f>$E$28</f>
        <v>1</v>
      </c>
      <c r="P77" s="263">
        <f>IF($E$29&gt;1.3,0,IF($E$29&lt;0.8,0,INDEX(U76:Z76,1,MATCH($E$29,U76:Z76))))</f>
        <v>1</v>
      </c>
      <c r="Q77" s="263">
        <f>IF(P77=0.8,2,IF(P77=0.9,3,IF(P77=1,4,IF(P77=1.1,5,IF(P77=1.2,6,7)))))</f>
        <v>4</v>
      </c>
      <c r="R77" s="263"/>
      <c r="T77" s="317">
        <v>0.8</v>
      </c>
      <c r="U77" s="263">
        <v>6.9000000000000006E-2</v>
      </c>
      <c r="V77" s="263">
        <v>7.3999999999999996E-2</v>
      </c>
      <c r="W77" s="263">
        <v>7.8E-2</v>
      </c>
      <c r="X77" s="263">
        <v>0.08</v>
      </c>
      <c r="Y77" s="263">
        <v>8.1000000000000003E-2</v>
      </c>
      <c r="Z77" s="322">
        <v>8.2000000000000003E-2</v>
      </c>
      <c r="AM77" s="269"/>
      <c r="AN77" s="269"/>
      <c r="AO77" s="269"/>
      <c r="AP77" s="269"/>
    </row>
    <row r="78" spans="1:42" ht="26.1" customHeight="1">
      <c r="A78" s="395"/>
      <c r="B78" s="395"/>
      <c r="C78" s="395"/>
      <c r="D78" s="395"/>
      <c r="E78" s="395"/>
      <c r="F78" s="395"/>
      <c r="G78" s="395"/>
      <c r="H78" s="395"/>
      <c r="L78" s="277">
        <f>VLOOKUP(L77,T76:Z82,Q77,FALSE)</f>
        <v>0.08</v>
      </c>
      <c r="M78" s="277">
        <f>VLOOKUP(L77,T76:Z82,Q78,FALSE)</f>
        <v>8.2000000000000003E-2</v>
      </c>
      <c r="N78" s="296">
        <f>TREND(L78:M78,L77:M77,N77)</f>
        <v>0.08</v>
      </c>
      <c r="P78" s="263">
        <f>IF(P77&lt;0.8,0,IF(P77&gt;1.3,0,(INDEX(U76:Z76,1,MATCH(P77,U76:Z76)+1))))</f>
        <v>1.1000000000000001</v>
      </c>
      <c r="Q78" s="263">
        <f>IF(P78=0.8,2,IF(P78=0.9,3,IF(P78=1,4,IF(P78=1.1,5,IF(P78=1.2,6,7)))))</f>
        <v>5</v>
      </c>
      <c r="R78" s="263"/>
      <c r="T78" s="317">
        <v>0.9</v>
      </c>
      <c r="U78" s="263">
        <v>7.0999999999999994E-2</v>
      </c>
      <c r="V78" s="263">
        <v>7.5999999999999998E-2</v>
      </c>
      <c r="W78" s="263">
        <v>7.9000000000000001E-2</v>
      </c>
      <c r="X78" s="263">
        <v>8.1000000000000003E-2</v>
      </c>
      <c r="Y78" s="263">
        <v>8.2000000000000003E-2</v>
      </c>
      <c r="Z78" s="322">
        <v>8.3000000000000004E-2</v>
      </c>
      <c r="AM78" s="269"/>
      <c r="AN78" s="269"/>
      <c r="AO78" s="269"/>
      <c r="AP78" s="269"/>
    </row>
    <row r="79" spans="1:42" ht="26.1" customHeight="1">
      <c r="A79" s="395"/>
      <c r="B79" s="395"/>
      <c r="C79" s="395"/>
      <c r="D79" s="395"/>
      <c r="E79" s="395"/>
      <c r="F79" s="395"/>
      <c r="G79" s="395"/>
      <c r="H79" s="395"/>
      <c r="R79" s="263"/>
      <c r="T79" s="317">
        <v>1</v>
      </c>
      <c r="U79" s="263">
        <v>7.2999999999999995E-2</v>
      </c>
      <c r="V79" s="263">
        <v>7.6999999999999999E-2</v>
      </c>
      <c r="W79" s="263">
        <v>0.08</v>
      </c>
      <c r="X79" s="263">
        <v>8.2000000000000003E-2</v>
      </c>
      <c r="Y79" s="263">
        <v>8.3000000000000004E-2</v>
      </c>
      <c r="Z79" s="322">
        <v>8.3000000000000004E-2</v>
      </c>
      <c r="AM79" s="269"/>
      <c r="AN79" s="269"/>
      <c r="AO79" s="269"/>
      <c r="AP79" s="269"/>
    </row>
    <row r="80" spans="1:42" ht="26.1" customHeight="1">
      <c r="A80" s="396"/>
      <c r="B80" s="396"/>
      <c r="C80" s="396"/>
      <c r="D80" s="396"/>
      <c r="E80" s="396"/>
      <c r="F80" s="396"/>
      <c r="G80" s="396"/>
      <c r="H80" s="396"/>
      <c r="R80" s="263"/>
      <c r="T80" s="317">
        <v>1.1000000000000001</v>
      </c>
      <c r="U80" s="263">
        <v>7.5999999999999998E-2</v>
      </c>
      <c r="V80" s="263">
        <v>0.08</v>
      </c>
      <c r="W80" s="263">
        <v>8.2000000000000003E-2</v>
      </c>
      <c r="X80" s="263">
        <v>8.3000000000000004E-2</v>
      </c>
      <c r="Y80" s="263">
        <v>8.4000000000000005E-2</v>
      </c>
      <c r="Z80" s="322">
        <v>8.4000000000000005E-2</v>
      </c>
      <c r="AM80" s="269"/>
      <c r="AN80" s="269"/>
      <c r="AO80" s="269"/>
      <c r="AP80" s="269"/>
    </row>
    <row r="81" spans="1:42" ht="26.1" customHeight="1">
      <c r="A81" s="276" t="s">
        <v>248</v>
      </c>
      <c r="B81" s="277">
        <f>ROUND(MAX(B56:B57)*1000000/$B$16+MAX(B61:B62)*1000000/$B$17,2)</f>
        <v>151.43</v>
      </c>
      <c r="C81" s="277">
        <f t="shared" ref="C81:G81" si="171">ROUND(MAX(C56:C57)*1000000/$B$16+MAX(C61:C62)*1000000/$B$17,2)</f>
        <v>182.28</v>
      </c>
      <c r="D81" s="277">
        <f t="shared" si="171"/>
        <v>279.98</v>
      </c>
      <c r="E81" s="277">
        <f t="shared" si="171"/>
        <v>334.38</v>
      </c>
      <c r="F81" s="277">
        <f t="shared" si="171"/>
        <v>251.72</v>
      </c>
      <c r="G81" s="277">
        <f t="shared" si="171"/>
        <v>279.98</v>
      </c>
      <c r="H81" s="277">
        <f t="shared" ref="H81" si="172">ROUND(MAX(H56:H57)*1000000/$B$16+MAX(H61:H62)*1000000/$B$17,2)</f>
        <v>330.4</v>
      </c>
      <c r="R81" s="263"/>
      <c r="T81" s="317">
        <v>1.2</v>
      </c>
      <c r="U81" s="263">
        <v>7.9000000000000001E-2</v>
      </c>
      <c r="V81" s="263">
        <v>8.1000000000000003E-2</v>
      </c>
      <c r="W81" s="263">
        <v>8.4000000000000005E-2</v>
      </c>
      <c r="X81" s="263">
        <v>8.4000000000000005E-2</v>
      </c>
      <c r="Y81" s="263">
        <v>8.5000000000000006E-2</v>
      </c>
      <c r="Z81" s="322">
        <v>8.5000000000000006E-2</v>
      </c>
      <c r="AM81" s="269"/>
      <c r="AN81" s="269"/>
      <c r="AO81" s="269"/>
      <c r="AP81" s="269"/>
    </row>
    <row r="82" spans="1:42" ht="26.1" customHeight="1">
      <c r="A82" s="277" t="s">
        <v>249</v>
      </c>
      <c r="B82" s="277">
        <f>ROUND(SQRT(MAX(B68:B69)^2+MAX(B72:B73)^2)*1000*$B$22,2)</f>
        <v>9.43</v>
      </c>
      <c r="C82" s="277">
        <f t="shared" ref="C82:G82" si="173">ROUND(SQRT(MAX(C68:C69)^2+MAX(C72:C73)^2)*1000*$B$22,2)</f>
        <v>11.09</v>
      </c>
      <c r="D82" s="277">
        <f t="shared" si="173"/>
        <v>16.29</v>
      </c>
      <c r="E82" s="277">
        <f t="shared" si="173"/>
        <v>19.329999999999998</v>
      </c>
      <c r="F82" s="277">
        <f t="shared" si="173"/>
        <v>14.72</v>
      </c>
      <c r="G82" s="277">
        <f t="shared" si="173"/>
        <v>16.29</v>
      </c>
      <c r="H82" s="277">
        <f t="shared" ref="H82" si="174">ROUND(SQRT(MAX(H68:H69)^2+MAX(H72:H73)^2)*1000*$B$22,2)</f>
        <v>18.559999999999999</v>
      </c>
      <c r="R82" s="263"/>
      <c r="T82" s="318">
        <v>1.3</v>
      </c>
      <c r="U82" s="319">
        <v>8.3000000000000004E-2</v>
      </c>
      <c r="V82" s="319">
        <v>8.5000000000000006E-2</v>
      </c>
      <c r="W82" s="319">
        <v>8.5999999999999993E-2</v>
      </c>
      <c r="X82" s="319">
        <v>8.5999999999999993E-2</v>
      </c>
      <c r="Y82" s="319">
        <v>8.5999999999999993E-2</v>
      </c>
      <c r="Z82" s="323">
        <v>8.5999999999999993E-2</v>
      </c>
      <c r="AM82" s="269"/>
      <c r="AN82" s="269"/>
      <c r="AO82" s="269"/>
      <c r="AP82" s="269"/>
    </row>
    <row r="83" spans="1:42" ht="26.1" customHeight="1">
      <c r="A83" s="307" t="s">
        <v>250</v>
      </c>
      <c r="B83" s="277">
        <f>ROUND(B76*1000000*$B$23,2)</f>
        <v>12.99</v>
      </c>
      <c r="C83" s="277">
        <f t="shared" ref="C83:G83" si="175">ROUND(C76*1000000*$B$23,2)</f>
        <v>16.66</v>
      </c>
      <c r="D83" s="277">
        <f t="shared" si="175"/>
        <v>29.38</v>
      </c>
      <c r="E83" s="277">
        <f t="shared" si="175"/>
        <v>34.840000000000003</v>
      </c>
      <c r="F83" s="277">
        <f t="shared" si="175"/>
        <v>24.24</v>
      </c>
      <c r="G83" s="277">
        <f t="shared" si="175"/>
        <v>29.38</v>
      </c>
      <c r="H83" s="277">
        <f t="shared" ref="H83" si="176">ROUND(H76*1000000*$B$23,2)</f>
        <v>24.56</v>
      </c>
      <c r="R83" s="263"/>
      <c r="Z83" s="263"/>
      <c r="AM83" s="269"/>
      <c r="AN83" s="269"/>
      <c r="AO83" s="269"/>
      <c r="AP83" s="269"/>
    </row>
    <row r="84" spans="1:42" ht="26.1" customHeight="1">
      <c r="A84" s="276" t="s">
        <v>251</v>
      </c>
      <c r="B84" s="277">
        <f>ROUND(SQRT(B81^2+3*(B82+B83)^2),2)</f>
        <v>156.33000000000001</v>
      </c>
      <c r="C84" s="277">
        <f t="shared" ref="C84:G84" si="177">ROUND(SQRT(C81^2+3*(C82+C83)^2),2)</f>
        <v>188.51</v>
      </c>
      <c r="D84" s="277">
        <f t="shared" si="177"/>
        <v>290.94</v>
      </c>
      <c r="E84" s="277">
        <f t="shared" si="177"/>
        <v>347.29</v>
      </c>
      <c r="F84" s="277">
        <f t="shared" si="177"/>
        <v>260.61</v>
      </c>
      <c r="G84" s="277">
        <f t="shared" si="177"/>
        <v>290.94</v>
      </c>
      <c r="H84" s="277">
        <f t="shared" ref="H84" si="178">ROUND(SQRT(H81^2+3*(H82+H83)^2),2)</f>
        <v>338.74</v>
      </c>
      <c r="R84" s="263"/>
      <c r="Z84" s="263"/>
      <c r="AM84" s="269"/>
      <c r="AN84" s="269"/>
      <c r="AO84" s="269"/>
      <c r="AP84" s="269"/>
    </row>
    <row r="85" spans="1:42" ht="26.1" customHeight="1">
      <c r="A85" s="278" t="s">
        <v>252</v>
      </c>
      <c r="B85" s="308">
        <f>B84/$B$15</f>
        <v>0.41357142857142898</v>
      </c>
      <c r="C85" s="308">
        <f t="shared" ref="C85:G85" si="179">C84/$B$15</f>
        <v>0.49870370370370398</v>
      </c>
      <c r="D85" s="308">
        <f t="shared" si="179"/>
        <v>0.76968253968253997</v>
      </c>
      <c r="E85" s="308">
        <f t="shared" si="179"/>
        <v>0.91875661375661399</v>
      </c>
      <c r="F85" s="308">
        <f t="shared" si="179"/>
        <v>0.68944444444444497</v>
      </c>
      <c r="G85" s="308">
        <f t="shared" si="179"/>
        <v>0.76968253968253997</v>
      </c>
      <c r="H85" s="308">
        <f t="shared" ref="H85" si="180">H84/$B$15</f>
        <v>0.89613756613756601</v>
      </c>
      <c r="J85" s="283" t="s">
        <v>253</v>
      </c>
      <c r="R85" s="263"/>
      <c r="Z85" s="263"/>
      <c r="AM85" s="269"/>
      <c r="AN85" s="269"/>
      <c r="AO85" s="269"/>
      <c r="AP85" s="269"/>
    </row>
    <row r="86" spans="1:42" ht="26.1" customHeight="1">
      <c r="A86" s="291" t="s">
        <v>254</v>
      </c>
      <c r="B86" s="267"/>
      <c r="C86" s="267"/>
      <c r="J86" s="272" t="s">
        <v>188</v>
      </c>
      <c r="K86" s="390" t="s">
        <v>255</v>
      </c>
      <c r="L86" s="390"/>
      <c r="M86" s="390"/>
      <c r="N86" s="391" t="s">
        <v>256</v>
      </c>
      <c r="O86" s="391"/>
      <c r="P86" s="391"/>
      <c r="R86" s="263"/>
      <c r="T86" s="272" t="s">
        <v>188</v>
      </c>
      <c r="U86" s="390" t="s">
        <v>255</v>
      </c>
      <c r="V86" s="390"/>
      <c r="W86" s="390"/>
      <c r="X86" s="390" t="s">
        <v>256</v>
      </c>
      <c r="Y86" s="390"/>
      <c r="Z86" s="390"/>
      <c r="AM86" s="269"/>
      <c r="AN86" s="269"/>
      <c r="AO86" s="269"/>
      <c r="AP86" s="269"/>
    </row>
    <row r="87" spans="1:42" ht="26.1" customHeight="1">
      <c r="A87" s="271"/>
      <c r="B87" s="267"/>
      <c r="C87" s="267"/>
      <c r="J87" s="284" t="s">
        <v>257</v>
      </c>
      <c r="K87" s="277" t="s">
        <v>258</v>
      </c>
      <c r="L87" s="277" t="s">
        <v>259</v>
      </c>
      <c r="M87" s="277" t="s">
        <v>260</v>
      </c>
      <c r="N87" s="277" t="s">
        <v>258</v>
      </c>
      <c r="O87" s="277" t="s">
        <v>259</v>
      </c>
      <c r="P87" s="277" t="s">
        <v>260</v>
      </c>
      <c r="R87" s="263"/>
      <c r="T87" s="286" t="s">
        <v>261</v>
      </c>
      <c r="U87" s="277" t="s">
        <v>258</v>
      </c>
      <c r="V87" s="277" t="s">
        <v>259</v>
      </c>
      <c r="W87" s="277" t="s">
        <v>260</v>
      </c>
      <c r="X87" s="277" t="s">
        <v>258</v>
      </c>
      <c r="Y87" s="277" t="s">
        <v>259</v>
      </c>
      <c r="Z87" s="277" t="s">
        <v>260</v>
      </c>
      <c r="AM87" s="269"/>
      <c r="AN87" s="269"/>
      <c r="AO87" s="269"/>
      <c r="AP87" s="269"/>
    </row>
    <row r="88" spans="1:42" ht="26.1" customHeight="1">
      <c r="A88" s="271"/>
      <c r="B88" s="267"/>
      <c r="C88" s="267"/>
      <c r="J88" s="277">
        <v>0</v>
      </c>
      <c r="K88" s="285">
        <v>0.04</v>
      </c>
      <c r="L88" s="285">
        <v>7.0000000000000007E-2</v>
      </c>
      <c r="M88" s="277">
        <f>ABS((L88-K88)/8)</f>
        <v>3.7499999999999999E-3</v>
      </c>
      <c r="N88" s="274">
        <v>0.04</v>
      </c>
      <c r="O88" s="274">
        <v>7.0000000000000007E-2</v>
      </c>
      <c r="P88" s="277">
        <f>ABS((O88-N88)/8)</f>
        <v>3.7499999999999999E-3</v>
      </c>
      <c r="R88" s="263"/>
      <c r="T88" s="277">
        <v>0</v>
      </c>
      <c r="U88" s="277">
        <f>IF($E$32="自定义",K88,0.04)</f>
        <v>0.04</v>
      </c>
      <c r="V88" s="277">
        <f>IF($E$32="自定义",L88,0.07)</f>
        <v>7.0000000000000007E-2</v>
      </c>
      <c r="W88" s="277">
        <f>ABS((V88-U88)/8)</f>
        <v>3.7499999999999999E-3</v>
      </c>
      <c r="X88" s="277">
        <f>IF($E$32="自定义",N88,0.04)</f>
        <v>0.04</v>
      </c>
      <c r="Y88" s="277">
        <f>IF($E$32="自定义",O88,0.07)</f>
        <v>7.0000000000000007E-2</v>
      </c>
      <c r="Z88" s="277">
        <f>ABS((Y88-X88)/8)</f>
        <v>3.7499999999999999E-3</v>
      </c>
      <c r="AM88" s="269"/>
      <c r="AN88" s="269"/>
      <c r="AO88" s="269"/>
      <c r="AP88" s="269"/>
    </row>
    <row r="89" spans="1:42" ht="26.1" customHeight="1">
      <c r="A89" s="271"/>
      <c r="B89" s="267"/>
      <c r="C89" s="267"/>
      <c r="J89" s="277">
        <v>5</v>
      </c>
      <c r="K89" s="285">
        <v>0.12</v>
      </c>
      <c r="L89" s="285">
        <v>0.41</v>
      </c>
      <c r="M89" s="277">
        <f t="shared" ref="M89:M100" si="181">ABS((L89-K89)/8)</f>
        <v>3.6249999999999998E-2</v>
      </c>
      <c r="N89" s="274">
        <v>0.41</v>
      </c>
      <c r="O89" s="274">
        <v>0.12</v>
      </c>
      <c r="P89" s="277">
        <f t="shared" ref="P89:P100" si="182">ABS((O89-N89)/8)</f>
        <v>3.6249999999999998E-2</v>
      </c>
      <c r="R89" s="263"/>
      <c r="T89" s="277">
        <v>5</v>
      </c>
      <c r="U89" s="277">
        <f>IF($E$32="自定义",K89,0.12)</f>
        <v>0.12</v>
      </c>
      <c r="V89" s="277">
        <f>IF($E$32="自定义",L89,0.41)</f>
        <v>0.41</v>
      </c>
      <c r="W89" s="277">
        <f t="shared" ref="W89:W100" si="183">ABS((V89-U89)/8)</f>
        <v>3.6249999999999998E-2</v>
      </c>
      <c r="X89" s="277">
        <f>IF($E$32="自定义",N89,0.41)</f>
        <v>0.41</v>
      </c>
      <c r="Y89" s="277">
        <f>IF($E$32="自定义",O89,0.12)</f>
        <v>0.12</v>
      </c>
      <c r="Z89" s="277">
        <f t="shared" ref="Z89:Z100" si="184">ABS((Y89-X89)/8)</f>
        <v>3.6249999999999998E-2</v>
      </c>
      <c r="AM89" s="269"/>
      <c r="AN89" s="269"/>
      <c r="AO89" s="269"/>
      <c r="AP89" s="269"/>
    </row>
    <row r="90" spans="1:42" ht="26.1" customHeight="1">
      <c r="A90" s="267" t="s">
        <v>157</v>
      </c>
      <c r="B90" s="263">
        <f t="shared" ref="B90:B97" si="185">B28</f>
        <v>7.3</v>
      </c>
      <c r="C90" s="271" t="s">
        <v>36</v>
      </c>
      <c r="D90" s="263" t="s">
        <v>158</v>
      </c>
      <c r="E90" s="263">
        <f>ROUND(B90/B91,3)</f>
        <v>1</v>
      </c>
      <c r="F90" s="263" t="s">
        <v>39</v>
      </c>
      <c r="G90" s="263">
        <f>$N$42</f>
        <v>-0.1</v>
      </c>
      <c r="J90" s="277">
        <v>10</v>
      </c>
      <c r="K90" s="285">
        <v>0.14000000000000001</v>
      </c>
      <c r="L90" s="285">
        <v>0.38</v>
      </c>
      <c r="M90" s="277">
        <f t="shared" si="181"/>
        <v>0.03</v>
      </c>
      <c r="N90" s="274">
        <v>0.38</v>
      </c>
      <c r="O90" s="274">
        <v>0.14000000000000001</v>
      </c>
      <c r="P90" s="277">
        <f t="shared" si="182"/>
        <v>0.03</v>
      </c>
      <c r="R90" s="263"/>
      <c r="T90" s="277">
        <v>10</v>
      </c>
      <c r="U90" s="277">
        <f>IF($E$32="自定义",K90,0.14)</f>
        <v>0.14000000000000001</v>
      </c>
      <c r="V90" s="277">
        <f>IF($E$32="自定义",L90,0.38)</f>
        <v>0.38</v>
      </c>
      <c r="W90" s="277">
        <f t="shared" si="183"/>
        <v>0.03</v>
      </c>
      <c r="X90" s="277">
        <f>IF($E$32="自定义",N90,0.38)</f>
        <v>0.38</v>
      </c>
      <c r="Y90" s="277">
        <f>IF($E$32="自定义",O90,0.14)</f>
        <v>0.14000000000000001</v>
      </c>
      <c r="Z90" s="277">
        <f t="shared" si="184"/>
        <v>0.03</v>
      </c>
      <c r="AM90" s="269"/>
      <c r="AN90" s="269"/>
      <c r="AO90" s="269"/>
      <c r="AP90" s="269"/>
    </row>
    <row r="91" spans="1:42" ht="26.1" customHeight="1">
      <c r="A91" s="267" t="s">
        <v>162</v>
      </c>
      <c r="B91" s="263">
        <f t="shared" si="185"/>
        <v>7.3</v>
      </c>
      <c r="C91" s="271" t="s">
        <v>36</v>
      </c>
      <c r="D91" s="263" t="s">
        <v>163</v>
      </c>
      <c r="E91" s="263">
        <f>ROUND(B92/B91,3)</f>
        <v>1</v>
      </c>
      <c r="F91" s="263" t="s">
        <v>42</v>
      </c>
      <c r="G91" s="263">
        <f>$N$51</f>
        <v>-0.1</v>
      </c>
      <c r="J91" s="277">
        <v>15</v>
      </c>
      <c r="K91" s="285">
        <v>0.25</v>
      </c>
      <c r="L91" s="285">
        <v>0.61</v>
      </c>
      <c r="M91" s="277">
        <f t="shared" si="181"/>
        <v>4.4999999999999998E-2</v>
      </c>
      <c r="N91" s="274">
        <v>0.61</v>
      </c>
      <c r="O91" s="274">
        <v>0.25</v>
      </c>
      <c r="P91" s="277">
        <f t="shared" si="182"/>
        <v>4.4999999999999998E-2</v>
      </c>
      <c r="R91" s="263"/>
      <c r="T91" s="277">
        <v>15</v>
      </c>
      <c r="U91" s="277">
        <f>IF($E$32="自定义",K91,0.25)</f>
        <v>0.25</v>
      </c>
      <c r="V91" s="277">
        <f>IF($E$32="自定义",L91,0.61)</f>
        <v>0.61</v>
      </c>
      <c r="W91" s="277">
        <f t="shared" si="183"/>
        <v>4.4999999999999998E-2</v>
      </c>
      <c r="X91" s="277">
        <f>IF($E$32="自定义",N91,0.61)</f>
        <v>0.61</v>
      </c>
      <c r="Y91" s="277">
        <f>IF($E$32="自定义",O91,0.25)</f>
        <v>0.25</v>
      </c>
      <c r="Z91" s="277">
        <f t="shared" si="184"/>
        <v>4.4999999999999998E-2</v>
      </c>
      <c r="AM91" s="269"/>
      <c r="AN91" s="269"/>
      <c r="AO91" s="269"/>
      <c r="AP91" s="269"/>
    </row>
    <row r="92" spans="1:42" ht="26.1" customHeight="1">
      <c r="A92" s="267" t="s">
        <v>177</v>
      </c>
      <c r="B92" s="263">
        <f t="shared" si="185"/>
        <v>7.3</v>
      </c>
      <c r="C92" s="271" t="s">
        <v>36</v>
      </c>
      <c r="D92" s="269"/>
      <c r="E92" s="269"/>
      <c r="F92" s="263" t="s">
        <v>45</v>
      </c>
      <c r="G92" s="263">
        <f>$N$60</f>
        <v>0.08</v>
      </c>
      <c r="J92" s="277">
        <v>20</v>
      </c>
      <c r="K92" s="285">
        <v>0.39</v>
      </c>
      <c r="L92" s="285">
        <v>0.87</v>
      </c>
      <c r="M92" s="277">
        <f t="shared" si="181"/>
        <v>0.06</v>
      </c>
      <c r="N92" s="274">
        <v>0.87</v>
      </c>
      <c r="O92" s="274">
        <v>0.39</v>
      </c>
      <c r="P92" s="277">
        <f t="shared" si="182"/>
        <v>0.06</v>
      </c>
      <c r="R92" s="263"/>
      <c r="T92" s="277">
        <v>20</v>
      </c>
      <c r="U92" s="277">
        <f>IF($E$32="自定义",K92,0.39)</f>
        <v>0.39</v>
      </c>
      <c r="V92" s="277">
        <f>IF($E$32="自定义",L92,0.87)</f>
        <v>0.87</v>
      </c>
      <c r="W92" s="277">
        <f t="shared" si="183"/>
        <v>0.06</v>
      </c>
      <c r="X92" s="277">
        <f>IF($E$32="自定义",N92,0.87)</f>
        <v>0.87</v>
      </c>
      <c r="Y92" s="277">
        <f>IF($E$32="自定义",O92,0.39)</f>
        <v>0.39</v>
      </c>
      <c r="Z92" s="277">
        <f t="shared" si="184"/>
        <v>0.06</v>
      </c>
      <c r="AM92" s="269"/>
      <c r="AN92" s="269"/>
      <c r="AO92" s="269"/>
      <c r="AP92" s="269"/>
    </row>
    <row r="93" spans="1:42" ht="26.1" customHeight="1">
      <c r="A93" s="267" t="s">
        <v>179</v>
      </c>
      <c r="B93" s="263">
        <f t="shared" si="185"/>
        <v>6.3</v>
      </c>
      <c r="C93" s="267"/>
      <c r="F93" s="263" t="s">
        <v>180</v>
      </c>
      <c r="G93" s="263">
        <f>$N$69</f>
        <v>2.5000000000000001E-2</v>
      </c>
      <c r="J93" s="277">
        <v>25</v>
      </c>
      <c r="K93" s="285">
        <v>0.52</v>
      </c>
      <c r="L93" s="285">
        <v>1.1599999999999999</v>
      </c>
      <c r="M93" s="277">
        <f t="shared" si="181"/>
        <v>0.08</v>
      </c>
      <c r="N93" s="274">
        <v>1.1599999999999999</v>
      </c>
      <c r="O93" s="274">
        <v>0.52</v>
      </c>
      <c r="P93" s="277">
        <f t="shared" si="182"/>
        <v>0.08</v>
      </c>
      <c r="R93" s="263"/>
      <c r="T93" s="277">
        <v>25</v>
      </c>
      <c r="U93" s="277">
        <f>IF($E$32="自定义",K93,0.52)</f>
        <v>0.52</v>
      </c>
      <c r="V93" s="277">
        <f>IF($E$32="自定义",L93,1.16)</f>
        <v>1.1599999999999999</v>
      </c>
      <c r="W93" s="277">
        <f t="shared" si="183"/>
        <v>0.08</v>
      </c>
      <c r="X93" s="277">
        <f>IF($E$32="自定义",N93,1.16)</f>
        <v>1.1599999999999999</v>
      </c>
      <c r="Y93" s="277">
        <f>IF($E$32="自定义",O93,0.52)</f>
        <v>0.52</v>
      </c>
      <c r="Z93" s="277">
        <f t="shared" si="184"/>
        <v>0.08</v>
      </c>
      <c r="AM93" s="269"/>
      <c r="AN93" s="269"/>
      <c r="AO93" s="269"/>
      <c r="AP93" s="269"/>
    </row>
    <row r="94" spans="1:42" ht="26.1" customHeight="1">
      <c r="A94" s="267" t="s">
        <v>182</v>
      </c>
      <c r="B94" s="263">
        <f t="shared" si="185"/>
        <v>0.15</v>
      </c>
      <c r="C94" s="271" t="s">
        <v>36</v>
      </c>
      <c r="F94" s="263" t="s">
        <v>185</v>
      </c>
      <c r="G94" s="263">
        <f>$N$78</f>
        <v>0.08</v>
      </c>
      <c r="J94" s="277">
        <v>30</v>
      </c>
      <c r="K94" s="285">
        <v>0.62</v>
      </c>
      <c r="L94" s="285">
        <v>1.42</v>
      </c>
      <c r="M94" s="277">
        <f t="shared" si="181"/>
        <v>0.1</v>
      </c>
      <c r="N94" s="274">
        <v>1.42</v>
      </c>
      <c r="O94" s="274">
        <v>0.62</v>
      </c>
      <c r="P94" s="277">
        <f t="shared" si="182"/>
        <v>0.1</v>
      </c>
      <c r="R94" s="263"/>
      <c r="T94" s="277">
        <v>30</v>
      </c>
      <c r="U94" s="277">
        <f>IF($E$32="自定义",K94,0.62)</f>
        <v>0.62</v>
      </c>
      <c r="V94" s="277">
        <f>IF($E$32="自定义",L94,1.42)</f>
        <v>1.42</v>
      </c>
      <c r="W94" s="277">
        <f t="shared" si="183"/>
        <v>0.1</v>
      </c>
      <c r="X94" s="277">
        <f>IF($E$32="自定义",N94,1.42)</f>
        <v>1.42</v>
      </c>
      <c r="Y94" s="277">
        <f>IF($E$32="自定义",O94,0.62)</f>
        <v>0.62</v>
      </c>
      <c r="Z94" s="277">
        <f t="shared" si="184"/>
        <v>0.1</v>
      </c>
      <c r="AM94" s="269"/>
      <c r="AN94" s="269"/>
      <c r="AO94" s="269"/>
      <c r="AP94" s="269"/>
    </row>
    <row r="95" spans="1:42" ht="26.1" customHeight="1">
      <c r="A95" s="267" t="s">
        <v>186</v>
      </c>
      <c r="B95" s="263">
        <f t="shared" si="185"/>
        <v>3</v>
      </c>
      <c r="C95" s="271"/>
      <c r="J95" s="277">
        <v>35</v>
      </c>
      <c r="K95" s="285">
        <v>0.75</v>
      </c>
      <c r="L95" s="285">
        <v>1.69</v>
      </c>
      <c r="M95" s="277">
        <f t="shared" si="181"/>
        <v>0.11749999999999999</v>
      </c>
      <c r="N95" s="274">
        <v>1.69</v>
      </c>
      <c r="O95" s="274">
        <v>0.75</v>
      </c>
      <c r="P95" s="277">
        <f t="shared" si="182"/>
        <v>0.11749999999999999</v>
      </c>
      <c r="R95" s="263"/>
      <c r="T95" s="277">
        <v>35</v>
      </c>
      <c r="U95" s="277">
        <f>IF($E$32="自定义",K95,0.75)</f>
        <v>0.75</v>
      </c>
      <c r="V95" s="277">
        <f>IF($E$32="自定义",L95,1.69)</f>
        <v>1.69</v>
      </c>
      <c r="W95" s="277">
        <f t="shared" si="183"/>
        <v>0.11749999999999999</v>
      </c>
      <c r="X95" s="277">
        <f>IF($E$32="自定义",N95,1.69)</f>
        <v>1.69</v>
      </c>
      <c r="Y95" s="277">
        <f>IF($E$32="自定义",O95,0.75)</f>
        <v>0.75</v>
      </c>
      <c r="Z95" s="277">
        <f t="shared" si="184"/>
        <v>0.11749999999999999</v>
      </c>
      <c r="AM95" s="269"/>
      <c r="AN95" s="269"/>
      <c r="AO95" s="269"/>
      <c r="AP95" s="269"/>
    </row>
    <row r="96" spans="1:42" ht="26.1" customHeight="1">
      <c r="A96" s="309" t="s">
        <v>189</v>
      </c>
      <c r="B96" s="277">
        <f t="shared" si="185"/>
        <v>5</v>
      </c>
      <c r="C96" s="277">
        <f t="shared" ref="C96:G96" si="186">C34</f>
        <v>10</v>
      </c>
      <c r="D96" s="277">
        <f t="shared" si="186"/>
        <v>30</v>
      </c>
      <c r="E96" s="277">
        <f t="shared" si="186"/>
        <v>40</v>
      </c>
      <c r="F96" s="277">
        <f t="shared" si="186"/>
        <v>25</v>
      </c>
      <c r="G96" s="277">
        <f t="shared" si="186"/>
        <v>30</v>
      </c>
      <c r="H96" s="277">
        <f t="shared" ref="H96" si="187">H34</f>
        <v>60</v>
      </c>
      <c r="J96" s="277">
        <v>40</v>
      </c>
      <c r="K96" s="285">
        <v>0.9</v>
      </c>
      <c r="L96" s="285">
        <v>1.87</v>
      </c>
      <c r="M96" s="277">
        <f t="shared" si="181"/>
        <v>0.12125</v>
      </c>
      <c r="N96" s="274">
        <v>1.87</v>
      </c>
      <c r="O96" s="274">
        <v>0.9</v>
      </c>
      <c r="P96" s="277">
        <f t="shared" si="182"/>
        <v>0.12125</v>
      </c>
      <c r="R96" s="263"/>
      <c r="T96" s="277">
        <v>40</v>
      </c>
      <c r="U96" s="277">
        <f>IF($E$32="自定义",K96,0.9)</f>
        <v>0.9</v>
      </c>
      <c r="V96" s="277">
        <f>IF($E$32="自定义",L96,1.87)</f>
        <v>1.87</v>
      </c>
      <c r="W96" s="277">
        <f t="shared" si="183"/>
        <v>0.12125</v>
      </c>
      <c r="X96" s="277">
        <f>IF($E$32="自定义",N96,1.87)</f>
        <v>1.87</v>
      </c>
      <c r="Y96" s="277">
        <f>IF($E$32="自定义",O96,0.9)</f>
        <v>0.9</v>
      </c>
      <c r="Z96" s="277">
        <f t="shared" si="184"/>
        <v>0.12125</v>
      </c>
      <c r="AM96" s="269"/>
      <c r="AN96" s="269"/>
      <c r="AO96" s="269"/>
      <c r="AP96" s="269"/>
    </row>
    <row r="97" spans="1:42" ht="26.1" customHeight="1">
      <c r="A97" s="278" t="s">
        <v>190</v>
      </c>
      <c r="B97" s="277" t="str">
        <f t="shared" si="185"/>
        <v>正常运行</v>
      </c>
      <c r="C97" s="277" t="str">
        <f t="shared" ref="C97:G97" si="188">C35</f>
        <v>停止保护</v>
      </c>
      <c r="D97" s="277" t="str">
        <f t="shared" si="188"/>
        <v>正常运行</v>
      </c>
      <c r="E97" s="277" t="str">
        <f t="shared" si="188"/>
        <v>正常运行</v>
      </c>
      <c r="F97" s="277" t="str">
        <f t="shared" si="188"/>
        <v>正常运行</v>
      </c>
      <c r="G97" s="277" t="str">
        <f t="shared" si="188"/>
        <v>正常运行</v>
      </c>
      <c r="H97" s="277" t="str">
        <f t="shared" ref="H97" si="189">H35</f>
        <v>正常运行</v>
      </c>
      <c r="J97" s="277">
        <v>45</v>
      </c>
      <c r="K97" s="285">
        <v>0.98</v>
      </c>
      <c r="L97" s="285">
        <v>1.91</v>
      </c>
      <c r="M97" s="277">
        <f t="shared" si="181"/>
        <v>0.11625000000000001</v>
      </c>
      <c r="N97" s="274">
        <v>2</v>
      </c>
      <c r="O97" s="274">
        <v>1</v>
      </c>
      <c r="P97" s="277">
        <f t="shared" si="182"/>
        <v>0.125</v>
      </c>
      <c r="R97" s="263"/>
      <c r="T97" s="277">
        <v>45</v>
      </c>
      <c r="U97" s="277">
        <f>IF($E$32="自定义",K97,0.98)</f>
        <v>0.98</v>
      </c>
      <c r="V97" s="277">
        <f>IF($E$32="自定义",L97,1.91)</f>
        <v>1.91</v>
      </c>
      <c r="W97" s="277">
        <f t="shared" si="183"/>
        <v>0.11625000000000001</v>
      </c>
      <c r="X97" s="277">
        <f>IF($E$32="自定义",N97,2)</f>
        <v>2</v>
      </c>
      <c r="Y97" s="277">
        <f>IF($E$32="自定义",O97,1)</f>
        <v>1</v>
      </c>
      <c r="Z97" s="277">
        <f t="shared" si="184"/>
        <v>0.125</v>
      </c>
      <c r="AM97" s="269"/>
      <c r="AN97" s="269"/>
      <c r="AO97" s="269"/>
      <c r="AP97" s="269"/>
    </row>
    <row r="98" spans="1:42" ht="26.1" customHeight="1">
      <c r="A98" s="276" t="s">
        <v>193</v>
      </c>
      <c r="B98" s="277">
        <f>IF(B97="正常运行",$B$4,ROUND($B$5*SQRT($F$4),2))</f>
        <v>18</v>
      </c>
      <c r="C98" s="277">
        <f t="shared" ref="C98" si="190">IF(C97="正常运行",$B$4,ROUND($B$5*SQRT($F$4),2))</f>
        <v>23.4</v>
      </c>
      <c r="D98" s="277">
        <f t="shared" ref="D98" si="191">IF(D97="正常运行",$B$4,ROUND($B$5*SQRT($F$4),2))</f>
        <v>18</v>
      </c>
      <c r="E98" s="277">
        <f t="shared" ref="E98" si="192">IF(E97="正常运行",$B$4,ROUND($B$5*SQRT($F$4),2))</f>
        <v>18</v>
      </c>
      <c r="F98" s="277">
        <f t="shared" ref="F98" si="193">IF(F97="正常运行",$B$4,ROUND($B$5*SQRT($F$4),2))</f>
        <v>18</v>
      </c>
      <c r="G98" s="277">
        <f t="shared" ref="G98:H98" si="194">IF(G97="正常运行",$B$4,ROUND($B$5*SQRT($F$4),2))</f>
        <v>18</v>
      </c>
      <c r="H98" s="277">
        <f t="shared" si="194"/>
        <v>18</v>
      </c>
      <c r="J98" s="277">
        <v>50</v>
      </c>
      <c r="K98" s="285">
        <v>1.07</v>
      </c>
      <c r="L98" s="285">
        <v>1.86</v>
      </c>
      <c r="M98" s="277">
        <f t="shared" si="181"/>
        <v>9.8750000000000004E-2</v>
      </c>
      <c r="N98" s="274">
        <v>2</v>
      </c>
      <c r="O98" s="274">
        <v>1.1200000000000001</v>
      </c>
      <c r="P98" s="277">
        <f t="shared" si="182"/>
        <v>0.11</v>
      </c>
      <c r="R98" s="263"/>
      <c r="T98" s="277">
        <v>50</v>
      </c>
      <c r="U98" s="277">
        <f>IF($E$32="自定义",K98,1.07)</f>
        <v>1.07</v>
      </c>
      <c r="V98" s="277">
        <f>IF($E$32="自定义",L98,1.86)</f>
        <v>1.86</v>
      </c>
      <c r="W98" s="277">
        <f t="shared" si="183"/>
        <v>9.8750000000000004E-2</v>
      </c>
      <c r="X98" s="277">
        <f>IF($E$32="自定义",N98,2)</f>
        <v>2</v>
      </c>
      <c r="Y98" s="277">
        <f>IF($E$32="自定义",O98,1.12)</f>
        <v>1.1200000000000001</v>
      </c>
      <c r="Z98" s="277">
        <f t="shared" si="184"/>
        <v>0.11</v>
      </c>
      <c r="AM98" s="269"/>
      <c r="AN98" s="269"/>
      <c r="AO98" s="269"/>
      <c r="AP98" s="269"/>
    </row>
    <row r="99" spans="1:42" ht="26.1" customHeight="1">
      <c r="A99" s="276" t="s">
        <v>194</v>
      </c>
      <c r="B99" s="277">
        <f t="shared" ref="B99:G99" si="195">ROUND(B98^2/1600,3)</f>
        <v>0.20300000000000001</v>
      </c>
      <c r="C99" s="277">
        <f t="shared" si="195"/>
        <v>0.34200000000000003</v>
      </c>
      <c r="D99" s="277">
        <f t="shared" si="195"/>
        <v>0.20300000000000001</v>
      </c>
      <c r="E99" s="277">
        <f t="shared" si="195"/>
        <v>0.20300000000000001</v>
      </c>
      <c r="F99" s="277">
        <f t="shared" si="195"/>
        <v>0.20300000000000001</v>
      </c>
      <c r="G99" s="277">
        <f t="shared" si="195"/>
        <v>0.20300000000000001</v>
      </c>
      <c r="H99" s="277">
        <f t="shared" ref="H99" si="196">ROUND(H98^2/1600,3)</f>
        <v>0.20300000000000001</v>
      </c>
      <c r="J99" s="277">
        <v>55</v>
      </c>
      <c r="K99" s="285">
        <v>1.07</v>
      </c>
      <c r="L99" s="285">
        <v>1.79</v>
      </c>
      <c r="M99" s="277">
        <f t="shared" si="181"/>
        <v>0.09</v>
      </c>
      <c r="N99" s="274">
        <v>2</v>
      </c>
      <c r="O99" s="274">
        <v>1.2</v>
      </c>
      <c r="P99" s="277">
        <f t="shared" si="182"/>
        <v>0.1</v>
      </c>
      <c r="R99" s="263"/>
      <c r="T99" s="277">
        <v>55</v>
      </c>
      <c r="U99" s="277">
        <f>IF($E$32="自定义",K99,1.07)</f>
        <v>1.07</v>
      </c>
      <c r="V99" s="277">
        <f>IF($E$32="自定义",L99,1.79)</f>
        <v>1.79</v>
      </c>
      <c r="W99" s="277">
        <f t="shared" si="183"/>
        <v>0.09</v>
      </c>
      <c r="X99" s="277">
        <f>IF($E$32="自定义",N99,2)</f>
        <v>2</v>
      </c>
      <c r="Y99" s="277">
        <f>IF($E$32="自定义",O99,1.2)</f>
        <v>1.2</v>
      </c>
      <c r="Z99" s="277">
        <f t="shared" si="184"/>
        <v>0.1</v>
      </c>
      <c r="AM99" s="269"/>
      <c r="AN99" s="269"/>
      <c r="AO99" s="269"/>
      <c r="AP99" s="269"/>
    </row>
    <row r="100" spans="1:42" ht="26.1" customHeight="1">
      <c r="A100" s="276" t="s">
        <v>195</v>
      </c>
      <c r="B100" s="277">
        <f>IF($E$33="1P",VLOOKUP(B96,$T$88:$Z$100,5,FALSE),IF($E$33="2P",VLOOKUP(B96,$T$104:$Z$116,5,FALSE)))</f>
        <v>0.41</v>
      </c>
      <c r="C100" s="277">
        <f t="shared" ref="C100:H100" si="197">IF($E$33="1P",VLOOKUP(C96,$T$88:$Z$100,5,FALSE),IF($E$33="2P",VLOOKUP(C96,$T$104:$Z$116,5,FALSE)))</f>
        <v>0.38</v>
      </c>
      <c r="D100" s="277">
        <f t="shared" si="197"/>
        <v>1.42</v>
      </c>
      <c r="E100" s="277">
        <f t="shared" si="197"/>
        <v>1.87</v>
      </c>
      <c r="F100" s="277">
        <f t="shared" si="197"/>
        <v>1.1599999999999999</v>
      </c>
      <c r="G100" s="277">
        <f t="shared" si="197"/>
        <v>1.42</v>
      </c>
      <c r="H100" s="277">
        <f t="shared" si="197"/>
        <v>2</v>
      </c>
      <c r="J100" s="277">
        <v>60</v>
      </c>
      <c r="K100" s="285">
        <v>1.1200000000000001</v>
      </c>
      <c r="L100" s="285">
        <v>1.77</v>
      </c>
      <c r="M100" s="277">
        <f t="shared" si="181"/>
        <v>8.1250000000000003E-2</v>
      </c>
      <c r="N100" s="274">
        <v>2</v>
      </c>
      <c r="O100" s="274">
        <v>1.22</v>
      </c>
      <c r="P100" s="277">
        <f t="shared" si="182"/>
        <v>9.7500000000000003E-2</v>
      </c>
      <c r="R100" s="263"/>
      <c r="T100" s="277">
        <v>60</v>
      </c>
      <c r="U100" s="277">
        <f>IF($E$32="自定义",K100,1.12)</f>
        <v>1.1200000000000001</v>
      </c>
      <c r="V100" s="277">
        <f>IF($E$32="自定义",L100,1.77)</f>
        <v>1.77</v>
      </c>
      <c r="W100" s="277">
        <f t="shared" si="183"/>
        <v>8.1250000000000003E-2</v>
      </c>
      <c r="X100" s="277">
        <f>IF($E$32="自定义",N100,2)</f>
        <v>2</v>
      </c>
      <c r="Y100" s="277">
        <f>IF($E$32="自定义",O100,1.22)</f>
        <v>1.22</v>
      </c>
      <c r="Z100" s="277">
        <f t="shared" si="184"/>
        <v>9.7500000000000003E-2</v>
      </c>
      <c r="AM100" s="269"/>
      <c r="AN100" s="269"/>
      <c r="AO100" s="269"/>
      <c r="AP100" s="269"/>
    </row>
    <row r="101" spans="1:42" ht="26.1" customHeight="1">
      <c r="A101" s="276" t="s">
        <v>196</v>
      </c>
      <c r="B101" s="277">
        <f>IF($E$33="1P",VLOOKUP(B96,$T$88:$Z$100,6,FALSE),IF($E$33="2P",VLOOKUP(B96,$T$104:$Z$116,6,FALSE)))</f>
        <v>0.12</v>
      </c>
      <c r="C101" s="277">
        <f t="shared" ref="C101:H101" si="198">IF($E$33="1P",VLOOKUP(C96,$T$88:$Z$100,6,FALSE),IF($E$33="2P",VLOOKUP(C96,$T$104:$Z$116,6,FALSE)))</f>
        <v>0.14000000000000001</v>
      </c>
      <c r="D101" s="277">
        <f t="shared" si="198"/>
        <v>0.62</v>
      </c>
      <c r="E101" s="277">
        <f t="shared" si="198"/>
        <v>0.9</v>
      </c>
      <c r="F101" s="277">
        <f t="shared" si="198"/>
        <v>0.52</v>
      </c>
      <c r="G101" s="277">
        <f t="shared" si="198"/>
        <v>0.62</v>
      </c>
      <c r="H101" s="277">
        <f t="shared" si="198"/>
        <v>1.22</v>
      </c>
      <c r="J101" s="283" t="s">
        <v>253</v>
      </c>
      <c r="R101" s="263"/>
      <c r="Z101" s="263"/>
      <c r="AM101" s="269"/>
      <c r="AN101" s="269"/>
      <c r="AO101" s="269"/>
      <c r="AP101" s="269"/>
    </row>
    <row r="102" spans="1:42" ht="26.1" customHeight="1">
      <c r="A102" s="276" t="s">
        <v>198</v>
      </c>
      <c r="B102" s="274">
        <v>1</v>
      </c>
      <c r="C102" s="274">
        <v>1</v>
      </c>
      <c r="D102" s="274">
        <v>1</v>
      </c>
      <c r="E102" s="274">
        <v>1</v>
      </c>
      <c r="F102" s="274">
        <v>1</v>
      </c>
      <c r="G102" s="274">
        <v>1</v>
      </c>
      <c r="H102" s="274">
        <v>1</v>
      </c>
      <c r="J102" s="272" t="s">
        <v>262</v>
      </c>
      <c r="K102" s="390" t="s">
        <v>255</v>
      </c>
      <c r="L102" s="390"/>
      <c r="M102" s="390"/>
      <c r="N102" s="391" t="s">
        <v>256</v>
      </c>
      <c r="O102" s="391"/>
      <c r="P102" s="391"/>
      <c r="R102" s="263"/>
      <c r="T102" s="272" t="s">
        <v>262</v>
      </c>
      <c r="U102" s="390" t="s">
        <v>255</v>
      </c>
      <c r="V102" s="390"/>
      <c r="W102" s="390"/>
      <c r="X102" s="390" t="s">
        <v>256</v>
      </c>
      <c r="Y102" s="390"/>
      <c r="Z102" s="390"/>
      <c r="AM102" s="269"/>
      <c r="AN102" s="269"/>
      <c r="AO102" s="269"/>
      <c r="AP102" s="269"/>
    </row>
    <row r="103" spans="1:42" ht="26.1" customHeight="1">
      <c r="A103" s="278" t="s">
        <v>203</v>
      </c>
      <c r="B103" s="277">
        <f>ABS((B100-B101)/8)</f>
        <v>3.6249999999999998E-2</v>
      </c>
      <c r="C103" s="277">
        <f t="shared" ref="C103:G103" si="199">ABS((C100-C101)/8)</f>
        <v>0.03</v>
      </c>
      <c r="D103" s="277">
        <f t="shared" si="199"/>
        <v>0.1</v>
      </c>
      <c r="E103" s="277">
        <f t="shared" si="199"/>
        <v>0.12125</v>
      </c>
      <c r="F103" s="277">
        <f t="shared" si="199"/>
        <v>0.08</v>
      </c>
      <c r="G103" s="277">
        <f t="shared" si="199"/>
        <v>0.1</v>
      </c>
      <c r="H103" s="277">
        <f t="shared" ref="H103" si="200">ABS((H100-H101)/8)</f>
        <v>9.7500000000000003E-2</v>
      </c>
      <c r="J103" s="284" t="s">
        <v>257</v>
      </c>
      <c r="K103" s="277" t="s">
        <v>258</v>
      </c>
      <c r="L103" s="277" t="s">
        <v>259</v>
      </c>
      <c r="M103" s="277" t="s">
        <v>260</v>
      </c>
      <c r="N103" s="277" t="s">
        <v>258</v>
      </c>
      <c r="O103" s="277" t="s">
        <v>259</v>
      </c>
      <c r="P103" s="277" t="s">
        <v>260</v>
      </c>
      <c r="R103" s="263"/>
      <c r="T103" s="286" t="s">
        <v>261</v>
      </c>
      <c r="U103" s="277" t="s">
        <v>258</v>
      </c>
      <c r="V103" s="277" t="s">
        <v>259</v>
      </c>
      <c r="W103" s="277" t="s">
        <v>260</v>
      </c>
      <c r="X103" s="277" t="s">
        <v>258</v>
      </c>
      <c r="Y103" s="277" t="s">
        <v>259</v>
      </c>
      <c r="Z103" s="277" t="s">
        <v>260</v>
      </c>
      <c r="AM103" s="269"/>
      <c r="AN103" s="269"/>
      <c r="AO103" s="269"/>
      <c r="AP103" s="269"/>
    </row>
    <row r="104" spans="1:42" ht="26.1" customHeight="1">
      <c r="A104" s="278" t="s">
        <v>204</v>
      </c>
      <c r="B104" s="277">
        <f t="shared" ref="B104:G104" si="201">B99*B100*B102</f>
        <v>8.3229999999999998E-2</v>
      </c>
      <c r="C104" s="277">
        <f t="shared" si="201"/>
        <v>0.12995999999999999</v>
      </c>
      <c r="D104" s="277">
        <f t="shared" si="201"/>
        <v>0.28826000000000002</v>
      </c>
      <c r="E104" s="277">
        <f t="shared" si="201"/>
        <v>0.37961</v>
      </c>
      <c r="F104" s="277">
        <f t="shared" si="201"/>
        <v>0.23547999999999999</v>
      </c>
      <c r="G104" s="277">
        <f t="shared" si="201"/>
        <v>0.28826000000000002</v>
      </c>
      <c r="H104" s="277">
        <f t="shared" ref="H104" si="202">H99*H100*H102</f>
        <v>0.40600000000000003</v>
      </c>
      <c r="J104" s="277">
        <v>0</v>
      </c>
      <c r="K104" s="285">
        <v>0.05</v>
      </c>
      <c r="L104" s="285">
        <v>0.05</v>
      </c>
      <c r="M104" s="277">
        <f t="shared" ref="M104:M116" si="203">ABS((L104-K104)/8)</f>
        <v>0</v>
      </c>
      <c r="N104" s="274">
        <v>0.05</v>
      </c>
      <c r="O104" s="274">
        <v>0.05</v>
      </c>
      <c r="P104" s="277">
        <f>ABS((O104-N104)/8)</f>
        <v>0</v>
      </c>
      <c r="R104" s="263"/>
      <c r="T104" s="277">
        <v>0</v>
      </c>
      <c r="U104" s="277">
        <f>IF($E$32="自定义",K104,0.05)</f>
        <v>0.05</v>
      </c>
      <c r="V104" s="277">
        <f>IF($E$32="自定义",L104,0.05)</f>
        <v>0.05</v>
      </c>
      <c r="W104" s="277">
        <f t="shared" ref="W104:W116" si="204">ABS((V104-U104)/8)</f>
        <v>0</v>
      </c>
      <c r="X104" s="277">
        <f>IF($E$32="自定义",N104,0.05)</f>
        <v>0.05</v>
      </c>
      <c r="Y104" s="277">
        <f>IF($E$32="自定义",O104,0.05)</f>
        <v>0.05</v>
      </c>
      <c r="Z104" s="277">
        <f>ABS((Y104-X104)/8)</f>
        <v>0</v>
      </c>
      <c r="AM104" s="269"/>
      <c r="AN104" s="269"/>
      <c r="AO104" s="269"/>
      <c r="AP104" s="269"/>
    </row>
    <row r="105" spans="1:42" ht="26.1" customHeight="1">
      <c r="A105" s="279" t="s">
        <v>205</v>
      </c>
      <c r="B105" s="277">
        <f>B99*B101*B102</f>
        <v>2.436E-2</v>
      </c>
      <c r="C105" s="277">
        <f t="shared" ref="C105:G105" si="205">C99*C101*C102</f>
        <v>4.7879999999999999E-2</v>
      </c>
      <c r="D105" s="277">
        <f t="shared" si="205"/>
        <v>0.12586</v>
      </c>
      <c r="E105" s="277">
        <f t="shared" si="205"/>
        <v>0.1827</v>
      </c>
      <c r="F105" s="277">
        <f t="shared" si="205"/>
        <v>0.10556</v>
      </c>
      <c r="G105" s="277">
        <f t="shared" si="205"/>
        <v>0.12586</v>
      </c>
      <c r="H105" s="277">
        <f t="shared" ref="H105" si="206">H99*H101*H102</f>
        <v>0.24765999999999999</v>
      </c>
      <c r="J105" s="277">
        <v>5</v>
      </c>
      <c r="K105" s="285">
        <v>0.27</v>
      </c>
      <c r="L105" s="285">
        <v>0.69</v>
      </c>
      <c r="M105" s="277">
        <f t="shared" si="203"/>
        <v>5.2499999999999998E-2</v>
      </c>
      <c r="N105" s="274">
        <v>0.69</v>
      </c>
      <c r="O105" s="274">
        <v>0.27</v>
      </c>
      <c r="P105" s="277">
        <f t="shared" ref="P105:P116" si="207">ABS((O105-N105)/8)</f>
        <v>5.2499999999999998E-2</v>
      </c>
      <c r="R105" s="263"/>
      <c r="T105" s="277">
        <v>5</v>
      </c>
      <c r="U105" s="277">
        <f>IF($E$32="自定义",K105,0.27)</f>
        <v>0.27</v>
      </c>
      <c r="V105" s="277">
        <f>IF($E$32="自定义",L105,0.69)</f>
        <v>0.69</v>
      </c>
      <c r="W105" s="277">
        <f t="shared" si="204"/>
        <v>5.2499999999999998E-2</v>
      </c>
      <c r="X105" s="277">
        <f>IF($E$32="自定义",N105,0.69)</f>
        <v>0.69</v>
      </c>
      <c r="Y105" s="277">
        <f>IF($E$32="自定义",O105,0.27)</f>
        <v>0.27</v>
      </c>
      <c r="Z105" s="277">
        <f t="shared" ref="Z105:Z116" si="208">ABS((Y105-X105)/8)</f>
        <v>5.2499999999999998E-2</v>
      </c>
      <c r="AM105" s="269"/>
      <c r="AN105" s="269"/>
      <c r="AO105" s="269"/>
      <c r="AP105" s="269"/>
    </row>
    <row r="106" spans="1:42" ht="26.1" customHeight="1">
      <c r="A106" s="279" t="s">
        <v>206</v>
      </c>
      <c r="B106" s="277">
        <f>B44</f>
        <v>1.4</v>
      </c>
      <c r="C106" s="277">
        <f t="shared" ref="C106:G106" si="209">C44</f>
        <v>1.4</v>
      </c>
      <c r="D106" s="277">
        <f t="shared" si="209"/>
        <v>1.4</v>
      </c>
      <c r="E106" s="277">
        <f t="shared" si="209"/>
        <v>1.4</v>
      </c>
      <c r="F106" s="277">
        <f t="shared" si="209"/>
        <v>1.4</v>
      </c>
      <c r="G106" s="277">
        <f t="shared" si="209"/>
        <v>1.4</v>
      </c>
      <c r="H106" s="277">
        <f t="shared" ref="H106" si="210">H44</f>
        <v>1.4</v>
      </c>
      <c r="J106" s="277">
        <v>10</v>
      </c>
      <c r="K106" s="285">
        <v>0.47</v>
      </c>
      <c r="L106" s="285">
        <v>1.18</v>
      </c>
      <c r="M106" s="277">
        <f t="shared" si="203"/>
        <v>8.8749999999999996E-2</v>
      </c>
      <c r="N106" s="274">
        <v>1.18</v>
      </c>
      <c r="O106" s="274">
        <v>0.47</v>
      </c>
      <c r="P106" s="277">
        <f t="shared" si="207"/>
        <v>8.8749999999999996E-2</v>
      </c>
      <c r="R106" s="263"/>
      <c r="T106" s="277">
        <v>10</v>
      </c>
      <c r="U106" s="277">
        <f>IF($E$32="自定义",K106,0.47)</f>
        <v>0.47</v>
      </c>
      <c r="V106" s="277">
        <f>IF($E$32="自定义",L106,1.18)</f>
        <v>1.18</v>
      </c>
      <c r="W106" s="277">
        <f t="shared" si="204"/>
        <v>8.8749999999999996E-2</v>
      </c>
      <c r="X106" s="277">
        <f>IF($E$32="自定义",N106,1.18)</f>
        <v>1.18</v>
      </c>
      <c r="Y106" s="277">
        <f>IF($E$32="自定义",O106,0.47)</f>
        <v>0.47</v>
      </c>
      <c r="Z106" s="277">
        <f t="shared" si="208"/>
        <v>8.8749999999999996E-2</v>
      </c>
      <c r="AM106" s="269"/>
      <c r="AN106" s="269"/>
      <c r="AO106" s="269"/>
      <c r="AP106" s="269"/>
    </row>
    <row r="107" spans="1:42" ht="26.1" customHeight="1">
      <c r="A107" s="279" t="s">
        <v>207</v>
      </c>
      <c r="B107" s="277">
        <v>1</v>
      </c>
      <c r="C107" s="277">
        <v>1</v>
      </c>
      <c r="D107" s="277">
        <v>1</v>
      </c>
      <c r="E107" s="277">
        <v>1</v>
      </c>
      <c r="F107" s="277">
        <v>1</v>
      </c>
      <c r="G107" s="277">
        <v>1</v>
      </c>
      <c r="H107" s="277">
        <v>1</v>
      </c>
      <c r="J107" s="277">
        <v>15</v>
      </c>
      <c r="K107" s="285">
        <v>0.63</v>
      </c>
      <c r="L107" s="285">
        <v>1.3</v>
      </c>
      <c r="M107" s="277">
        <f t="shared" si="203"/>
        <v>8.3750000000000005E-2</v>
      </c>
      <c r="N107" s="274">
        <v>1.3</v>
      </c>
      <c r="O107" s="274">
        <v>0.63</v>
      </c>
      <c r="P107" s="277">
        <f t="shared" si="207"/>
        <v>8.3750000000000005E-2</v>
      </c>
      <c r="R107" s="263"/>
      <c r="T107" s="277">
        <v>15</v>
      </c>
      <c r="U107" s="277">
        <f>IF($E$32="自定义",K107,0.63)</f>
        <v>0.63</v>
      </c>
      <c r="V107" s="277">
        <f>IF($E$32="自定义",L107,1.3)</f>
        <v>1.3</v>
      </c>
      <c r="W107" s="277">
        <f t="shared" si="204"/>
        <v>8.3750000000000005E-2</v>
      </c>
      <c r="X107" s="277">
        <f>IF($E$32="自定义",N107,1.3)</f>
        <v>1.3</v>
      </c>
      <c r="Y107" s="277">
        <f>IF($E$32="自定义",O107,0.63)</f>
        <v>0.63</v>
      </c>
      <c r="Z107" s="277">
        <f t="shared" si="208"/>
        <v>8.3750000000000005E-2</v>
      </c>
      <c r="AM107" s="269"/>
      <c r="AN107" s="269"/>
      <c r="AO107" s="269"/>
      <c r="AP107" s="269"/>
    </row>
    <row r="108" spans="1:42" ht="26.1" customHeight="1">
      <c r="A108" s="279" t="s">
        <v>208</v>
      </c>
      <c r="B108" s="277">
        <f>ROUND(B106*(B104+B105)*$B$9/2,4)</f>
        <v>0.39</v>
      </c>
      <c r="C108" s="277">
        <f t="shared" ref="C108:G108" si="211">ROUND(C106*(C104+C105)*$B$9/2,4)</f>
        <v>0.64459999999999995</v>
      </c>
      <c r="D108" s="277">
        <f t="shared" si="211"/>
        <v>1.5009999999999999</v>
      </c>
      <c r="E108" s="277">
        <f t="shared" si="211"/>
        <v>2.0381</v>
      </c>
      <c r="F108" s="277">
        <f t="shared" si="211"/>
        <v>1.2361</v>
      </c>
      <c r="G108" s="277">
        <f t="shared" si="211"/>
        <v>1.5009999999999999</v>
      </c>
      <c r="H108" s="277">
        <f t="shared" ref="H108" si="212">ROUND(H106*(H104+H105)*$B$9/2,4)</f>
        <v>2.3692000000000002</v>
      </c>
      <c r="J108" s="277">
        <v>20</v>
      </c>
      <c r="K108" s="285">
        <v>0.73</v>
      </c>
      <c r="L108" s="285">
        <v>1.41</v>
      </c>
      <c r="M108" s="277">
        <f t="shared" si="203"/>
        <v>8.5000000000000006E-2</v>
      </c>
      <c r="N108" s="274">
        <v>1.41</v>
      </c>
      <c r="O108" s="274">
        <v>0.73</v>
      </c>
      <c r="P108" s="277">
        <f t="shared" si="207"/>
        <v>8.5000000000000006E-2</v>
      </c>
      <c r="R108" s="263"/>
      <c r="T108" s="277">
        <v>20</v>
      </c>
      <c r="U108" s="277">
        <f>IF($E$32="自定义",K108,0.73)</f>
        <v>0.73</v>
      </c>
      <c r="V108" s="277">
        <f>IF($E$32="自定义",L108,1.41)</f>
        <v>1.41</v>
      </c>
      <c r="W108" s="277">
        <f t="shared" si="204"/>
        <v>8.5000000000000006E-2</v>
      </c>
      <c r="X108" s="277">
        <f>IF($E$32="自定义",N108,1.41)</f>
        <v>1.41</v>
      </c>
      <c r="Y108" s="277">
        <f>IF($E$32="自定义",O108,0.73)</f>
        <v>0.73</v>
      </c>
      <c r="Z108" s="277">
        <f t="shared" si="208"/>
        <v>8.5000000000000006E-2</v>
      </c>
      <c r="AM108" s="269"/>
      <c r="AN108" s="269"/>
      <c r="AO108" s="269"/>
      <c r="AP108" s="269"/>
    </row>
    <row r="109" spans="1:42" ht="26.1" customHeight="1">
      <c r="A109" s="279" t="s">
        <v>209</v>
      </c>
      <c r="B109" s="277">
        <f>ROUND(B108*$B$31/$B$29,4)</f>
        <v>0.33660000000000001</v>
      </c>
      <c r="C109" s="277">
        <f t="shared" ref="C109:H109" si="213">ROUND(C108*$B$31/$B$29,4)</f>
        <v>0.55630000000000002</v>
      </c>
      <c r="D109" s="277">
        <f t="shared" si="213"/>
        <v>1.2954000000000001</v>
      </c>
      <c r="E109" s="277">
        <f t="shared" si="213"/>
        <v>1.7588999999999999</v>
      </c>
      <c r="F109" s="277">
        <f t="shared" si="213"/>
        <v>1.0668</v>
      </c>
      <c r="G109" s="277">
        <f t="shared" si="213"/>
        <v>1.2954000000000001</v>
      </c>
      <c r="H109" s="277">
        <f t="shared" si="213"/>
        <v>2.0447000000000002</v>
      </c>
      <c r="J109" s="277">
        <v>25</v>
      </c>
      <c r="K109" s="285">
        <v>0.8</v>
      </c>
      <c r="L109" s="285">
        <v>1.5</v>
      </c>
      <c r="M109" s="277">
        <f t="shared" si="203"/>
        <v>8.7499999999999994E-2</v>
      </c>
      <c r="N109" s="274">
        <v>1.5</v>
      </c>
      <c r="O109" s="274">
        <v>0.8</v>
      </c>
      <c r="P109" s="277">
        <f t="shared" si="207"/>
        <v>8.7499999999999994E-2</v>
      </c>
      <c r="R109" s="263"/>
      <c r="T109" s="277">
        <v>25</v>
      </c>
      <c r="U109" s="277">
        <f>IF($E$32="自定义",K109,0.8)</f>
        <v>0.8</v>
      </c>
      <c r="V109" s="277">
        <f>IF($E$32="自定义",L109,1.5)</f>
        <v>1.5</v>
      </c>
      <c r="W109" s="277">
        <f t="shared" si="204"/>
        <v>8.7499999999999994E-2</v>
      </c>
      <c r="X109" s="277">
        <f>IF($E$32="自定义",N109,1.5)</f>
        <v>1.5</v>
      </c>
      <c r="Y109" s="277">
        <f>IF($E$32="自定义",O109,0.8)</f>
        <v>0.8</v>
      </c>
      <c r="Z109" s="277">
        <f t="shared" si="208"/>
        <v>8.7499999999999994E-2</v>
      </c>
      <c r="AM109" s="269"/>
      <c r="AN109" s="269"/>
      <c r="AO109" s="269"/>
      <c r="AP109" s="269"/>
    </row>
    <row r="110" spans="1:42" ht="26.1" customHeight="1">
      <c r="A110" s="279" t="s">
        <v>210</v>
      </c>
      <c r="B110" s="277">
        <f>ROUND(B107*$B$31*$B$6*COS(RADIANS(B96))/100/$B$29,4)</f>
        <v>0.55020000000000002</v>
      </c>
      <c r="C110" s="277">
        <f t="shared" ref="C110:G110" si="214">ROUND(C107*$B$31*$B$6*COS(RADIANS(C96))/100/$B$30,4)</f>
        <v>0.54390000000000005</v>
      </c>
      <c r="D110" s="277">
        <f t="shared" si="214"/>
        <v>0.4783</v>
      </c>
      <c r="E110" s="277">
        <f t="shared" si="214"/>
        <v>0.42309999999999998</v>
      </c>
      <c r="F110" s="277">
        <f t="shared" si="214"/>
        <v>0.50060000000000004</v>
      </c>
      <c r="G110" s="277">
        <f t="shared" si="214"/>
        <v>0.4783</v>
      </c>
      <c r="H110" s="277">
        <f t="shared" ref="H110" si="215">ROUND(H107*$B$31*$B$6*COS(RADIANS(H96))/100/$B$30,4)</f>
        <v>0.2762</v>
      </c>
      <c r="J110" s="277">
        <v>30</v>
      </c>
      <c r="K110" s="285">
        <v>0.9</v>
      </c>
      <c r="L110" s="285">
        <v>1.66</v>
      </c>
      <c r="M110" s="277">
        <f t="shared" si="203"/>
        <v>9.5000000000000001E-2</v>
      </c>
      <c r="N110" s="274">
        <v>1.66</v>
      </c>
      <c r="O110" s="274">
        <v>0.9</v>
      </c>
      <c r="P110" s="277">
        <f t="shared" si="207"/>
        <v>9.5000000000000001E-2</v>
      </c>
      <c r="R110" s="263"/>
      <c r="T110" s="277">
        <v>30</v>
      </c>
      <c r="U110" s="277">
        <f>IF($E$32="自定义",K110,0.9)</f>
        <v>0.9</v>
      </c>
      <c r="V110" s="277">
        <f>IF($E$32="自定义",L110,1.66)</f>
        <v>1.66</v>
      </c>
      <c r="W110" s="277">
        <f t="shared" si="204"/>
        <v>9.5000000000000001E-2</v>
      </c>
      <c r="X110" s="277">
        <f>IF($E$32="自定义",N110,1.66)</f>
        <v>1.66</v>
      </c>
      <c r="Y110" s="277">
        <f>IF($E$32="自定义",O110,0.9)</f>
        <v>0.9</v>
      </c>
      <c r="Z110" s="277">
        <f t="shared" si="208"/>
        <v>9.5000000000000001E-2</v>
      </c>
      <c r="AM110" s="269"/>
      <c r="AN110" s="269"/>
      <c r="AO110" s="269"/>
      <c r="AP110" s="269"/>
    </row>
    <row r="111" spans="1:42" ht="26.1" customHeight="1">
      <c r="A111" s="279" t="s">
        <v>212</v>
      </c>
      <c r="B111" s="277">
        <f>ROUND($B$21*B107*COS(RADIANS(B96)),4)</f>
        <v>9.1899999999999996E-2</v>
      </c>
      <c r="C111" s="277">
        <f t="shared" ref="C111:H111" si="216">ROUND($B$21*C107*COS(RADIANS(C96)),4)</f>
        <v>9.0800000000000006E-2</v>
      </c>
      <c r="D111" s="277">
        <f t="shared" si="216"/>
        <v>7.9899999999999999E-2</v>
      </c>
      <c r="E111" s="277">
        <f t="shared" si="216"/>
        <v>7.0699999999999999E-2</v>
      </c>
      <c r="F111" s="277">
        <f t="shared" si="216"/>
        <v>8.3599999999999994E-2</v>
      </c>
      <c r="G111" s="277">
        <f t="shared" si="216"/>
        <v>7.9899999999999999E-2</v>
      </c>
      <c r="H111" s="277">
        <f t="shared" si="216"/>
        <v>4.6100000000000002E-2</v>
      </c>
      <c r="J111" s="277">
        <v>35</v>
      </c>
      <c r="K111" s="285">
        <v>0.93</v>
      </c>
      <c r="L111" s="285">
        <v>1.66</v>
      </c>
      <c r="M111" s="277">
        <f t="shared" si="203"/>
        <v>9.1249999999999998E-2</v>
      </c>
      <c r="N111" s="274">
        <v>1.66</v>
      </c>
      <c r="O111" s="274">
        <v>0.93</v>
      </c>
      <c r="P111" s="277">
        <f t="shared" si="207"/>
        <v>9.1249999999999998E-2</v>
      </c>
      <c r="R111" s="263"/>
      <c r="T111" s="277">
        <v>35</v>
      </c>
      <c r="U111" s="277">
        <f>IF($E$32="自定义",K111,0.93)</f>
        <v>0.93</v>
      </c>
      <c r="V111" s="277">
        <f t="shared" ref="V111:V116" si="217">IF($E$32="自定义",L111,1.66)</f>
        <v>1.66</v>
      </c>
      <c r="W111" s="277">
        <f t="shared" si="204"/>
        <v>9.1249999999999998E-2</v>
      </c>
      <c r="X111" s="277">
        <f>IF($E$32="自定义",N111,1.66)</f>
        <v>1.66</v>
      </c>
      <c r="Y111" s="277">
        <f>IF($E$32="自定义",O111,0.93)</f>
        <v>0.93</v>
      </c>
      <c r="Z111" s="277">
        <f t="shared" si="208"/>
        <v>9.1249999999999998E-2</v>
      </c>
      <c r="AM111" s="269"/>
      <c r="AN111" s="269"/>
      <c r="AO111" s="269"/>
      <c r="AP111" s="269"/>
    </row>
    <row r="112" spans="1:42" ht="26.1" customHeight="1">
      <c r="A112" s="279" t="s">
        <v>214</v>
      </c>
      <c r="B112" s="277">
        <f>ROUND(B45*$B$159*$B$160*($B$31+1)*COS(RADIANS(B34))/$B$30,4)</f>
        <v>0.11169999999999999</v>
      </c>
      <c r="C112" s="277">
        <f t="shared" ref="C112:G112" si="218">ROUND(C45*$B$159*$B$160*($B$31+1)*COS(RADIANS(C34))/$B$30,4)</f>
        <v>0.1104</v>
      </c>
      <c r="D112" s="277">
        <f t="shared" si="218"/>
        <v>9.7100000000000006E-2</v>
      </c>
      <c r="E112" s="277">
        <f t="shared" si="218"/>
        <v>8.5900000000000004E-2</v>
      </c>
      <c r="F112" s="277">
        <f t="shared" si="218"/>
        <v>0.1016</v>
      </c>
      <c r="G112" s="277">
        <f t="shared" si="218"/>
        <v>9.7100000000000006E-2</v>
      </c>
      <c r="H112" s="277">
        <f t="shared" ref="H112" si="219">ROUND(H45*$B$159*$B$160*($B$31+1)*COS(RADIANS(H34))/$B$30,4)</f>
        <v>5.6099999999999997E-2</v>
      </c>
      <c r="J112" s="277">
        <v>40</v>
      </c>
      <c r="K112" s="285">
        <v>0.92</v>
      </c>
      <c r="L112" s="285">
        <v>1.66</v>
      </c>
      <c r="M112" s="277">
        <f t="shared" si="203"/>
        <v>9.2499999999999999E-2</v>
      </c>
      <c r="N112" s="274">
        <v>1.74</v>
      </c>
      <c r="O112" s="274">
        <v>1.1000000000000001</v>
      </c>
      <c r="P112" s="277">
        <f t="shared" si="207"/>
        <v>0.08</v>
      </c>
      <c r="R112" s="263"/>
      <c r="T112" s="277">
        <v>40</v>
      </c>
      <c r="U112" s="277">
        <f>IF($E$32="自定义",K112,0.92)</f>
        <v>0.92</v>
      </c>
      <c r="V112" s="277">
        <f t="shared" si="217"/>
        <v>1.66</v>
      </c>
      <c r="W112" s="277">
        <f t="shared" si="204"/>
        <v>9.2499999999999999E-2</v>
      </c>
      <c r="X112" s="277">
        <f>IF($E$32="自定义",N112,1.74)</f>
        <v>1.74</v>
      </c>
      <c r="Y112" s="277">
        <f>IF($E$32="自定义",O112,1.1)</f>
        <v>1.1000000000000001</v>
      </c>
      <c r="Z112" s="277">
        <f t="shared" si="208"/>
        <v>0.08</v>
      </c>
      <c r="AM112" s="269"/>
      <c r="AN112" s="269"/>
      <c r="AO112" s="269"/>
      <c r="AP112" s="269"/>
    </row>
    <row r="113" spans="1:42" ht="26.1" customHeight="1">
      <c r="A113" s="295" t="s">
        <v>263</v>
      </c>
      <c r="B113" s="296">
        <f>ABS(B109-B110-B111-B112)</f>
        <v>0.41720000000000002</v>
      </c>
      <c r="C113" s="296">
        <f t="shared" ref="C113:G113" si="220">ABS(C109-C110-C111-C112)</f>
        <v>0.1888</v>
      </c>
      <c r="D113" s="296">
        <f t="shared" si="220"/>
        <v>0.6401</v>
      </c>
      <c r="E113" s="296">
        <f t="shared" si="220"/>
        <v>1.1792</v>
      </c>
      <c r="F113" s="296">
        <f t="shared" si="220"/>
        <v>0.38100000000000001</v>
      </c>
      <c r="G113" s="296">
        <f t="shared" si="220"/>
        <v>0.6401</v>
      </c>
      <c r="H113" s="296">
        <f t="shared" ref="H113" si="221">ABS(H109-H110-H111-H112)</f>
        <v>1.6662999999999999</v>
      </c>
      <c r="J113" s="277">
        <v>45</v>
      </c>
      <c r="K113" s="285">
        <v>1.08</v>
      </c>
      <c r="L113" s="285">
        <v>1.66</v>
      </c>
      <c r="M113" s="277">
        <f t="shared" si="203"/>
        <v>7.2499999999999995E-2</v>
      </c>
      <c r="N113" s="274">
        <v>1.74</v>
      </c>
      <c r="O113" s="274">
        <v>1.2</v>
      </c>
      <c r="P113" s="277">
        <f t="shared" si="207"/>
        <v>6.7500000000000004E-2</v>
      </c>
      <c r="R113" s="263"/>
      <c r="T113" s="277">
        <v>45</v>
      </c>
      <c r="U113" s="277">
        <f>IF($E$32="自定义",K113,1.08)</f>
        <v>1.08</v>
      </c>
      <c r="V113" s="277">
        <f t="shared" si="217"/>
        <v>1.66</v>
      </c>
      <c r="W113" s="277">
        <f t="shared" si="204"/>
        <v>7.2499999999999995E-2</v>
      </c>
      <c r="X113" s="277">
        <f t="shared" ref="X113:X116" si="222">IF($E$32="自定义",N113,1.74)</f>
        <v>1.74</v>
      </c>
      <c r="Y113" s="277">
        <f>IF($E$32="自定义",O113,1.2)</f>
        <v>1.2</v>
      </c>
      <c r="Z113" s="277">
        <f t="shared" si="208"/>
        <v>6.7500000000000004E-2</v>
      </c>
      <c r="AM113" s="269"/>
      <c r="AN113" s="269"/>
      <c r="AO113" s="269"/>
      <c r="AP113" s="269"/>
    </row>
    <row r="114" spans="1:42" ht="26.1" customHeight="1">
      <c r="A114" s="279" t="s">
        <v>216</v>
      </c>
      <c r="B114" s="277">
        <f t="shared" ref="B114:G114" si="223">ROUND(1.2*$B$31*$B$6*SIN(RADIANS(B96))/100/$B$30,4)</f>
        <v>5.7799999999999997E-2</v>
      </c>
      <c r="C114" s="277">
        <f t="shared" si="223"/>
        <v>0.11509999999999999</v>
      </c>
      <c r="D114" s="277">
        <f t="shared" si="223"/>
        <v>0.33139999999999997</v>
      </c>
      <c r="E114" s="277">
        <f t="shared" si="223"/>
        <v>0.42599999999999999</v>
      </c>
      <c r="F114" s="277">
        <f t="shared" si="223"/>
        <v>0.28010000000000002</v>
      </c>
      <c r="G114" s="277">
        <f t="shared" si="223"/>
        <v>0.33139999999999997</v>
      </c>
      <c r="H114" s="277">
        <f t="shared" ref="H114" si="224">ROUND(1.2*$B$31*$B$6*SIN(RADIANS(H96))/100/$B$30,4)</f>
        <v>0.57399999999999995</v>
      </c>
      <c r="J114" s="277">
        <v>50</v>
      </c>
      <c r="K114" s="285">
        <v>1.08</v>
      </c>
      <c r="L114" s="285">
        <v>1.66</v>
      </c>
      <c r="M114" s="277">
        <f t="shared" si="203"/>
        <v>7.2499999999999995E-2</v>
      </c>
      <c r="N114" s="274">
        <v>1.74</v>
      </c>
      <c r="O114" s="274">
        <v>1.2</v>
      </c>
      <c r="P114" s="277">
        <f t="shared" si="207"/>
        <v>6.7500000000000004E-2</v>
      </c>
      <c r="R114" s="263"/>
      <c r="T114" s="277">
        <v>50</v>
      </c>
      <c r="U114" s="277">
        <f>IF($E$32="自定义",K114,1.08)</f>
        <v>1.08</v>
      </c>
      <c r="V114" s="277">
        <f t="shared" si="217"/>
        <v>1.66</v>
      </c>
      <c r="W114" s="277">
        <f t="shared" si="204"/>
        <v>7.2499999999999995E-2</v>
      </c>
      <c r="X114" s="277">
        <f t="shared" si="222"/>
        <v>1.74</v>
      </c>
      <c r="Y114" s="277">
        <f t="shared" ref="Y114:Y116" si="225">IF($E$32="自定义",O114,1.2)</f>
        <v>1.2</v>
      </c>
      <c r="Z114" s="277">
        <f t="shared" si="208"/>
        <v>6.7500000000000004E-2</v>
      </c>
      <c r="AM114" s="269"/>
      <c r="AN114" s="269"/>
      <c r="AO114" s="269"/>
      <c r="AP114" s="269"/>
    </row>
    <row r="115" spans="1:42" ht="26.1" customHeight="1">
      <c r="A115" s="279" t="s">
        <v>217</v>
      </c>
      <c r="B115" s="277">
        <f t="shared" ref="B115:G115" si="226">ROUND($B$21*B107*SIN(RADIANS(B96)),4)</f>
        <v>8.0000000000000002E-3</v>
      </c>
      <c r="C115" s="277">
        <f t="shared" si="226"/>
        <v>1.6E-2</v>
      </c>
      <c r="D115" s="277">
        <f t="shared" si="226"/>
        <v>4.6100000000000002E-2</v>
      </c>
      <c r="E115" s="277">
        <f t="shared" si="226"/>
        <v>5.9299999999999999E-2</v>
      </c>
      <c r="F115" s="277">
        <f t="shared" si="226"/>
        <v>3.9E-2</v>
      </c>
      <c r="G115" s="277">
        <f t="shared" si="226"/>
        <v>4.6100000000000002E-2</v>
      </c>
      <c r="H115" s="277">
        <f t="shared" ref="H115" si="227">ROUND($B$21*H107*SIN(RADIANS(H96)),4)</f>
        <v>7.9899999999999999E-2</v>
      </c>
      <c r="J115" s="277">
        <v>55</v>
      </c>
      <c r="K115" s="285">
        <v>1.08</v>
      </c>
      <c r="L115" s="285">
        <v>1.66</v>
      </c>
      <c r="M115" s="277">
        <f t="shared" si="203"/>
        <v>7.2499999999999995E-2</v>
      </c>
      <c r="N115" s="274">
        <v>1.74</v>
      </c>
      <c r="O115" s="274">
        <v>1.2</v>
      </c>
      <c r="P115" s="277">
        <f t="shared" si="207"/>
        <v>6.7500000000000004E-2</v>
      </c>
      <c r="R115" s="263"/>
      <c r="T115" s="277">
        <v>55</v>
      </c>
      <c r="U115" s="277">
        <f>IF($E$32="自定义",K115,1.08)</f>
        <v>1.08</v>
      </c>
      <c r="V115" s="277">
        <f t="shared" si="217"/>
        <v>1.66</v>
      </c>
      <c r="W115" s="277">
        <f t="shared" si="204"/>
        <v>7.2499999999999995E-2</v>
      </c>
      <c r="X115" s="277">
        <f t="shared" si="222"/>
        <v>1.74</v>
      </c>
      <c r="Y115" s="277">
        <f t="shared" si="225"/>
        <v>1.2</v>
      </c>
      <c r="Z115" s="277">
        <f t="shared" si="208"/>
        <v>6.7500000000000004E-2</v>
      </c>
      <c r="AM115" s="269"/>
      <c r="AN115" s="269"/>
      <c r="AO115" s="269"/>
      <c r="AP115" s="269"/>
    </row>
    <row r="116" spans="1:42" ht="26.1" customHeight="1">
      <c r="A116" s="279" t="s">
        <v>264</v>
      </c>
      <c r="B116" s="277">
        <f>ROUND(B45*$B$159*$B$160*($B$31+1)*SIN(RADIANS(B34))/$B$30,4)</f>
        <v>9.7999999999999997E-3</v>
      </c>
      <c r="C116" s="277">
        <f t="shared" ref="C116:G116" si="228">ROUND(C45*$B$159*$B$160*($B$31+1)*SIN(RADIANS(C34))/$B$30,4)</f>
        <v>1.95E-2</v>
      </c>
      <c r="D116" s="277">
        <f t="shared" si="228"/>
        <v>5.6099999999999997E-2</v>
      </c>
      <c r="E116" s="277">
        <f t="shared" si="228"/>
        <v>7.2099999999999997E-2</v>
      </c>
      <c r="F116" s="277">
        <f t="shared" si="228"/>
        <v>4.7399999999999998E-2</v>
      </c>
      <c r="G116" s="277">
        <f t="shared" si="228"/>
        <v>5.6099999999999997E-2</v>
      </c>
      <c r="H116" s="277">
        <f t="shared" ref="H116" si="229">ROUND(H45*$B$159*$B$160*($B$31+1)*SIN(RADIANS(H34))/$B$30,4)</f>
        <v>9.7100000000000006E-2</v>
      </c>
      <c r="J116" s="277">
        <v>60</v>
      </c>
      <c r="K116" s="285">
        <v>1.08</v>
      </c>
      <c r="L116" s="285">
        <v>1.66</v>
      </c>
      <c r="M116" s="277">
        <f t="shared" si="203"/>
        <v>7.2499999999999995E-2</v>
      </c>
      <c r="N116" s="274">
        <v>1.74</v>
      </c>
      <c r="O116" s="274">
        <v>1.2</v>
      </c>
      <c r="P116" s="277">
        <f t="shared" si="207"/>
        <v>6.7500000000000004E-2</v>
      </c>
      <c r="R116" s="263"/>
      <c r="T116" s="277">
        <v>60</v>
      </c>
      <c r="U116" s="277">
        <f>IF($E$32="自定义",K116,1.08)</f>
        <v>1.08</v>
      </c>
      <c r="V116" s="277">
        <f t="shared" si="217"/>
        <v>1.66</v>
      </c>
      <c r="W116" s="277">
        <f t="shared" si="204"/>
        <v>7.2499999999999995E-2</v>
      </c>
      <c r="X116" s="277">
        <f t="shared" si="222"/>
        <v>1.74</v>
      </c>
      <c r="Y116" s="277">
        <f t="shared" si="225"/>
        <v>1.2</v>
      </c>
      <c r="Z116" s="277">
        <f t="shared" si="208"/>
        <v>6.7500000000000004E-2</v>
      </c>
      <c r="AM116" s="269"/>
      <c r="AN116" s="269"/>
      <c r="AO116" s="269"/>
      <c r="AP116" s="269"/>
    </row>
    <row r="117" spans="1:42" ht="26.1" customHeight="1">
      <c r="A117" s="295" t="s">
        <v>219</v>
      </c>
      <c r="B117" s="296">
        <f t="shared" ref="B117:G117" si="230">B114+B115+B116</f>
        <v>7.5600000000000001E-2</v>
      </c>
      <c r="C117" s="296">
        <f t="shared" si="230"/>
        <v>0.15060000000000001</v>
      </c>
      <c r="D117" s="296">
        <f t="shared" si="230"/>
        <v>0.43359999999999999</v>
      </c>
      <c r="E117" s="296">
        <f t="shared" si="230"/>
        <v>0.55740000000000001</v>
      </c>
      <c r="F117" s="296">
        <f t="shared" si="230"/>
        <v>0.36649999999999999</v>
      </c>
      <c r="G117" s="296">
        <f t="shared" si="230"/>
        <v>0.43359999999999999</v>
      </c>
      <c r="H117" s="296">
        <f t="shared" ref="H117" si="231">H114+H115+H116</f>
        <v>0.751</v>
      </c>
      <c r="R117" s="263"/>
      <c r="Z117" s="263"/>
      <c r="AM117" s="269"/>
      <c r="AN117" s="269"/>
      <c r="AO117" s="269"/>
      <c r="AP117" s="269"/>
    </row>
    <row r="118" spans="1:42" ht="26.1" customHeight="1">
      <c r="A118" s="297" t="s">
        <v>220</v>
      </c>
      <c r="B118" s="298">
        <f t="shared" ref="B118:G118" si="232">ABS(ROUND($G$28*B113*$B$29^2,4))</f>
        <v>2.2233000000000001</v>
      </c>
      <c r="C118" s="298">
        <f t="shared" si="232"/>
        <v>1.0061</v>
      </c>
      <c r="D118" s="298">
        <f t="shared" si="232"/>
        <v>3.4110999999999998</v>
      </c>
      <c r="E118" s="298">
        <f t="shared" si="232"/>
        <v>6.2839999999999998</v>
      </c>
      <c r="F118" s="298">
        <f t="shared" si="232"/>
        <v>2.0303</v>
      </c>
      <c r="G118" s="298">
        <f t="shared" si="232"/>
        <v>3.4110999999999998</v>
      </c>
      <c r="H118" s="298">
        <f t="shared" ref="H118" si="233">ABS(ROUND($G$28*H113*$B$29^2,4))</f>
        <v>8.8796999999999997</v>
      </c>
      <c r="R118" s="263"/>
      <c r="Z118" s="263"/>
      <c r="AM118" s="269"/>
      <c r="AN118" s="269"/>
      <c r="AO118" s="269"/>
      <c r="AP118" s="269"/>
    </row>
    <row r="119" spans="1:42" ht="26.1" customHeight="1">
      <c r="A119" s="297" t="s">
        <v>221</v>
      </c>
      <c r="B119" s="298">
        <f t="shared" ref="B119:G119" si="234">ABS(ROUND($G$29*B113*$B$29^2,4))</f>
        <v>2.2233000000000001</v>
      </c>
      <c r="C119" s="298">
        <f t="shared" si="234"/>
        <v>1.0061</v>
      </c>
      <c r="D119" s="298">
        <f t="shared" si="234"/>
        <v>3.4110999999999998</v>
      </c>
      <c r="E119" s="298">
        <f t="shared" si="234"/>
        <v>6.2839999999999998</v>
      </c>
      <c r="F119" s="298">
        <f t="shared" si="234"/>
        <v>2.0303</v>
      </c>
      <c r="G119" s="298">
        <f t="shared" si="234"/>
        <v>3.4110999999999998</v>
      </c>
      <c r="H119" s="298">
        <f t="shared" ref="H119" si="235">ABS(ROUND($G$29*H113*$B$29^2,4))</f>
        <v>8.8796999999999997</v>
      </c>
      <c r="R119" s="263"/>
      <c r="Z119" s="263"/>
      <c r="AM119" s="269"/>
      <c r="AN119" s="269"/>
      <c r="AO119" s="269"/>
      <c r="AP119" s="269"/>
    </row>
    <row r="120" spans="1:42" ht="26.1" customHeight="1">
      <c r="A120" s="297" t="s">
        <v>223</v>
      </c>
      <c r="B120" s="298">
        <f t="shared" ref="B120:G120" si="236">ROUND($G$30*B113*$B$28^2,4)</f>
        <v>1.7786</v>
      </c>
      <c r="C120" s="298">
        <f t="shared" si="236"/>
        <v>0.80489999999999995</v>
      </c>
      <c r="D120" s="298">
        <f t="shared" si="236"/>
        <v>2.7288999999999999</v>
      </c>
      <c r="E120" s="298">
        <f t="shared" si="236"/>
        <v>5.0271999999999997</v>
      </c>
      <c r="F120" s="298">
        <f t="shared" si="236"/>
        <v>1.6243000000000001</v>
      </c>
      <c r="G120" s="298">
        <f t="shared" si="236"/>
        <v>2.7288999999999999</v>
      </c>
      <c r="H120" s="298">
        <f t="shared" ref="H120" si="237">ROUND($G$30*H113*$B$28^2,4)</f>
        <v>7.1037999999999997</v>
      </c>
      <c r="R120" s="263"/>
      <c r="Z120" s="263"/>
      <c r="AM120" s="269"/>
      <c r="AN120" s="269"/>
      <c r="AO120" s="269"/>
      <c r="AP120" s="269"/>
    </row>
    <row r="121" spans="1:42" ht="26.1" customHeight="1">
      <c r="A121" s="297" t="s">
        <v>225</v>
      </c>
      <c r="B121" s="298">
        <f t="shared" ref="B121:G121" si="238">ROUND($G$31*B113*$B$29^2,4)</f>
        <v>0.55579999999999996</v>
      </c>
      <c r="C121" s="298">
        <f t="shared" si="238"/>
        <v>0.2515</v>
      </c>
      <c r="D121" s="298">
        <f t="shared" si="238"/>
        <v>0.8528</v>
      </c>
      <c r="E121" s="298">
        <f t="shared" si="238"/>
        <v>1.571</v>
      </c>
      <c r="F121" s="298">
        <f t="shared" si="238"/>
        <v>0.50760000000000005</v>
      </c>
      <c r="G121" s="298">
        <f t="shared" si="238"/>
        <v>0.8528</v>
      </c>
      <c r="H121" s="298">
        <f t="shared" ref="H121" si="239">ROUND($G$31*H113*$B$29^2,4)</f>
        <v>2.2199</v>
      </c>
      <c r="R121" s="263"/>
      <c r="Z121" s="263"/>
      <c r="AM121" s="269"/>
      <c r="AN121" s="269"/>
      <c r="AO121" s="269"/>
      <c r="AP121" s="269"/>
    </row>
    <row r="122" spans="1:42" ht="26.1" customHeight="1">
      <c r="A122" s="297" t="s">
        <v>226</v>
      </c>
      <c r="B122" s="298">
        <f t="shared" ref="B122:G122" si="240">ROUND($G$32*B113*$B$30^2,4)</f>
        <v>1.7786</v>
      </c>
      <c r="C122" s="298">
        <f t="shared" si="240"/>
        <v>0.80489999999999995</v>
      </c>
      <c r="D122" s="298">
        <f t="shared" si="240"/>
        <v>2.7288999999999999</v>
      </c>
      <c r="E122" s="298">
        <f t="shared" si="240"/>
        <v>5.0271999999999997</v>
      </c>
      <c r="F122" s="298">
        <f t="shared" si="240"/>
        <v>1.6243000000000001</v>
      </c>
      <c r="G122" s="298">
        <f t="shared" si="240"/>
        <v>2.7288999999999999</v>
      </c>
      <c r="H122" s="298">
        <f t="shared" ref="H122" si="241">ROUND($G$32*H113*$B$30^2,4)</f>
        <v>7.1037999999999997</v>
      </c>
      <c r="R122" s="263"/>
      <c r="Z122" s="263"/>
      <c r="AM122" s="269"/>
      <c r="AN122" s="269"/>
      <c r="AO122" s="269"/>
      <c r="AP122" s="269"/>
    </row>
    <row r="123" spans="1:42" ht="26.1" customHeight="1">
      <c r="A123" s="299" t="s">
        <v>227</v>
      </c>
      <c r="B123" s="300">
        <f>ABS(ROUND($G$28*B117*$B$29^2,4))</f>
        <v>0.40289999999999998</v>
      </c>
      <c r="C123" s="300">
        <f t="shared" ref="C123:G123" si="242">ABS(ROUND($G$28*C117*$B$29^2,4))</f>
        <v>0.80249999999999999</v>
      </c>
      <c r="D123" s="300">
        <f t="shared" si="242"/>
        <v>2.3107000000000002</v>
      </c>
      <c r="E123" s="300">
        <f t="shared" si="242"/>
        <v>2.9704000000000002</v>
      </c>
      <c r="F123" s="300">
        <f t="shared" si="242"/>
        <v>1.9531000000000001</v>
      </c>
      <c r="G123" s="300">
        <f t="shared" si="242"/>
        <v>2.3107000000000002</v>
      </c>
      <c r="H123" s="300">
        <f t="shared" ref="H123" si="243">ABS(ROUND($G$28*H117*$B$29^2,4))</f>
        <v>4.0021000000000004</v>
      </c>
      <c r="R123" s="263"/>
      <c r="Z123" s="263"/>
      <c r="AM123" s="269"/>
      <c r="AN123" s="269"/>
      <c r="AO123" s="269"/>
      <c r="AP123" s="269"/>
    </row>
    <row r="124" spans="1:42" ht="26.1" customHeight="1">
      <c r="A124" s="299" t="s">
        <v>228</v>
      </c>
      <c r="B124" s="300">
        <f>ABS(ROUND($G$29*B117*$B$29^2,4))</f>
        <v>0.40289999999999998</v>
      </c>
      <c r="C124" s="300">
        <f t="shared" ref="C124:G124" si="244">ABS(ROUND($G$29*C117*$B$29^2,4))</f>
        <v>0.80249999999999999</v>
      </c>
      <c r="D124" s="300">
        <f t="shared" si="244"/>
        <v>2.3107000000000002</v>
      </c>
      <c r="E124" s="300">
        <f t="shared" si="244"/>
        <v>2.9704000000000002</v>
      </c>
      <c r="F124" s="300">
        <f t="shared" si="244"/>
        <v>1.9531000000000001</v>
      </c>
      <c r="G124" s="300">
        <f t="shared" si="244"/>
        <v>2.3107000000000002</v>
      </c>
      <c r="H124" s="300">
        <f t="shared" ref="H124" si="245">ABS(ROUND($G$29*H117*$B$29^2,4))</f>
        <v>4.0021000000000004</v>
      </c>
      <c r="R124" s="263"/>
      <c r="Z124" s="263"/>
      <c r="AM124" s="269"/>
      <c r="AN124" s="269"/>
      <c r="AO124" s="269"/>
      <c r="AP124" s="269"/>
    </row>
    <row r="125" spans="1:42" ht="26.1" customHeight="1">
      <c r="A125" s="299" t="s">
        <v>229</v>
      </c>
      <c r="B125" s="300">
        <f>ABS(ROUND($G$30*B117*$B$28^2,4))</f>
        <v>0.32229999999999998</v>
      </c>
      <c r="C125" s="300">
        <f t="shared" ref="C125:G125" si="246">ABS(ROUND($G$30*C117*$B$28^2,4))</f>
        <v>0.64200000000000002</v>
      </c>
      <c r="D125" s="300">
        <f t="shared" si="246"/>
        <v>1.8485</v>
      </c>
      <c r="E125" s="300">
        <f t="shared" si="246"/>
        <v>2.3763000000000001</v>
      </c>
      <c r="F125" s="300">
        <f t="shared" si="246"/>
        <v>1.5625</v>
      </c>
      <c r="G125" s="300">
        <f t="shared" si="246"/>
        <v>1.8485</v>
      </c>
      <c r="H125" s="300">
        <f t="shared" ref="H125" si="247">ABS(ROUND($G$30*H117*$B$28^2,4))</f>
        <v>3.2017000000000002</v>
      </c>
      <c r="R125" s="263"/>
      <c r="Z125" s="263"/>
      <c r="AM125" s="269"/>
      <c r="AN125" s="269"/>
      <c r="AO125" s="269"/>
      <c r="AP125" s="269"/>
    </row>
    <row r="126" spans="1:42" ht="26.1" customHeight="1">
      <c r="A126" s="299" t="s">
        <v>230</v>
      </c>
      <c r="B126" s="300">
        <f>ABS(ROUND($G$31*B117*$B$29^2,4))</f>
        <v>0.1007</v>
      </c>
      <c r="C126" s="300">
        <f t="shared" ref="C126:G126" si="248">ABS(ROUND($G$31*C117*$B$29^2,4))</f>
        <v>0.2006</v>
      </c>
      <c r="D126" s="300">
        <f t="shared" si="248"/>
        <v>0.57769999999999999</v>
      </c>
      <c r="E126" s="300">
        <f t="shared" si="248"/>
        <v>0.74260000000000004</v>
      </c>
      <c r="F126" s="300">
        <f t="shared" si="248"/>
        <v>0.48830000000000001</v>
      </c>
      <c r="G126" s="300">
        <f t="shared" si="248"/>
        <v>0.57769999999999999</v>
      </c>
      <c r="H126" s="300">
        <f t="shared" ref="H126" si="249">ABS(ROUND($G$31*H117*$B$29^2,4))</f>
        <v>1.0004999999999999</v>
      </c>
      <c r="R126" s="263"/>
      <c r="Z126" s="263"/>
      <c r="AM126" s="269"/>
      <c r="AN126" s="269"/>
      <c r="AO126" s="269"/>
      <c r="AP126" s="269"/>
    </row>
    <row r="127" spans="1:42" ht="26.1" customHeight="1">
      <c r="A127" s="299" t="s">
        <v>231</v>
      </c>
      <c r="B127" s="300">
        <f>ABS(ROUND($G$32*B117*$B$30^2,4))</f>
        <v>0.32229999999999998</v>
      </c>
      <c r="C127" s="300">
        <f t="shared" ref="C127:G127" si="250">ABS(ROUND($G$32*C117*$B$30^2,4))</f>
        <v>0.64200000000000002</v>
      </c>
      <c r="D127" s="300">
        <f t="shared" si="250"/>
        <v>1.8485</v>
      </c>
      <c r="E127" s="300">
        <f t="shared" si="250"/>
        <v>2.3763000000000001</v>
      </c>
      <c r="F127" s="300">
        <f t="shared" si="250"/>
        <v>1.5625</v>
      </c>
      <c r="G127" s="300">
        <f t="shared" si="250"/>
        <v>1.8485</v>
      </c>
      <c r="H127" s="300">
        <f t="shared" ref="H127" si="251">ABS(ROUND($G$32*H117*$B$30^2,4))</f>
        <v>3.2017000000000002</v>
      </c>
      <c r="R127" s="263"/>
      <c r="Z127" s="263"/>
      <c r="AM127" s="269"/>
      <c r="AN127" s="269"/>
      <c r="AO127" s="269"/>
      <c r="AP127" s="269"/>
    </row>
    <row r="128" spans="1:42" ht="26.1" customHeight="1">
      <c r="A128" s="301" t="s">
        <v>232</v>
      </c>
      <c r="B128" s="302">
        <f t="shared" ref="B128:G128" si="252">ABS(ROUND(-(0.5-$G$28/($E$28^2))*B113*$B$28,4))</f>
        <v>1.8272999999999999</v>
      </c>
      <c r="C128" s="302">
        <f t="shared" si="252"/>
        <v>0.82689999999999997</v>
      </c>
      <c r="D128" s="302">
        <f t="shared" si="252"/>
        <v>2.8035999999999999</v>
      </c>
      <c r="E128" s="302">
        <f t="shared" si="252"/>
        <v>5.1649000000000003</v>
      </c>
      <c r="F128" s="302">
        <f t="shared" si="252"/>
        <v>1.6688000000000001</v>
      </c>
      <c r="G128" s="302">
        <f t="shared" si="252"/>
        <v>2.8035999999999999</v>
      </c>
      <c r="H128" s="302">
        <f t="shared" ref="H128" si="253">ABS(ROUND(-(0.5-$G$28/($E$28^2))*H113*$B$28,4))</f>
        <v>7.2984</v>
      </c>
      <c r="R128" s="263"/>
      <c r="Z128" s="263"/>
      <c r="AM128" s="269"/>
      <c r="AN128" s="269"/>
      <c r="AO128" s="269"/>
      <c r="AP128" s="269"/>
    </row>
    <row r="129" spans="1:42" ht="26.1" customHeight="1">
      <c r="A129" s="301" t="s">
        <v>234</v>
      </c>
      <c r="B129" s="302">
        <f t="shared" ref="B129:G129" si="254">ABS(ROUND((0.5-$G$28+$G$29)*B113*$B$29,4))</f>
        <v>1.5227999999999999</v>
      </c>
      <c r="C129" s="302">
        <f t="shared" si="254"/>
        <v>0.68910000000000005</v>
      </c>
      <c r="D129" s="302">
        <f t="shared" si="254"/>
        <v>2.3363999999999998</v>
      </c>
      <c r="E129" s="302">
        <f t="shared" si="254"/>
        <v>4.3041</v>
      </c>
      <c r="F129" s="302">
        <f t="shared" si="254"/>
        <v>1.3907</v>
      </c>
      <c r="G129" s="302">
        <f t="shared" si="254"/>
        <v>2.3363999999999998</v>
      </c>
      <c r="H129" s="302">
        <f t="shared" ref="H129" si="255">ABS(ROUND((0.5-$G$28+$G$29)*H113*$B$29,4))</f>
        <v>6.0819999999999999</v>
      </c>
      <c r="R129" s="263"/>
      <c r="Z129" s="263"/>
      <c r="AM129" s="269"/>
      <c r="AN129" s="269"/>
      <c r="AO129" s="269"/>
      <c r="AP129" s="269"/>
    </row>
    <row r="130" spans="1:42" ht="26.1" customHeight="1">
      <c r="A130" s="301" t="s">
        <v>236</v>
      </c>
      <c r="B130" s="302">
        <f t="shared" ref="B130:G130" si="256">ABS(ROUND(-(0.5+$G$28-$G$29)*B113*$B$29,4))</f>
        <v>1.5227999999999999</v>
      </c>
      <c r="C130" s="302">
        <f t="shared" si="256"/>
        <v>0.68910000000000005</v>
      </c>
      <c r="D130" s="302">
        <f t="shared" si="256"/>
        <v>2.3363999999999998</v>
      </c>
      <c r="E130" s="302">
        <f t="shared" si="256"/>
        <v>4.3041</v>
      </c>
      <c r="F130" s="302">
        <f t="shared" si="256"/>
        <v>1.3907</v>
      </c>
      <c r="G130" s="302">
        <f t="shared" si="256"/>
        <v>2.3363999999999998</v>
      </c>
      <c r="H130" s="302">
        <f t="shared" ref="H130" si="257">ABS(ROUND(-(0.5+$G$28-$G$29)*H113*$B$29,4))</f>
        <v>6.0819999999999999</v>
      </c>
      <c r="R130" s="263"/>
      <c r="Z130" s="263"/>
      <c r="AM130" s="269"/>
      <c r="AN130" s="269"/>
      <c r="AO130" s="269"/>
      <c r="AP130" s="269"/>
    </row>
    <row r="131" spans="1:42" ht="26.1" customHeight="1">
      <c r="A131" s="301" t="s">
        <v>237</v>
      </c>
      <c r="B131" s="302">
        <f t="shared" ref="B131:G131" si="258">ABS(ROUND((0.5-$G$29/($E$29^2))*B113*$B$30,4))</f>
        <v>1.8272999999999999</v>
      </c>
      <c r="C131" s="302">
        <f t="shared" si="258"/>
        <v>0.82689999999999997</v>
      </c>
      <c r="D131" s="302">
        <f t="shared" si="258"/>
        <v>2.8035999999999999</v>
      </c>
      <c r="E131" s="302">
        <f t="shared" si="258"/>
        <v>5.1649000000000003</v>
      </c>
      <c r="F131" s="302">
        <f t="shared" si="258"/>
        <v>1.6688000000000001</v>
      </c>
      <c r="G131" s="302">
        <f t="shared" si="258"/>
        <v>2.8035999999999999</v>
      </c>
      <c r="H131" s="302">
        <f t="shared" ref="H131" si="259">ABS(ROUND((0.5-$G$29/($E$29^2))*H113*$B$30,4))</f>
        <v>7.2984</v>
      </c>
      <c r="R131" s="263"/>
      <c r="Z131" s="263"/>
      <c r="AM131" s="269"/>
      <c r="AN131" s="269"/>
      <c r="AO131" s="269"/>
      <c r="AP131" s="269"/>
    </row>
    <row r="132" spans="1:42" ht="26.1" customHeight="1">
      <c r="A132" s="304" t="s">
        <v>238</v>
      </c>
      <c r="B132" s="305">
        <f>ROUND(-(0.5-$G$28/($E$28^2))*B117*$B$28,4)</f>
        <v>-0.33110000000000001</v>
      </c>
      <c r="C132" s="305">
        <f>ABS(ROUND(-(0.5-$G$28/($E$28^2))*C117*$B$28,4))</f>
        <v>0.65959999999999996</v>
      </c>
      <c r="D132" s="305">
        <f t="shared" ref="D132:G132" si="260">ABS(ROUND(-(0.5-$G$28/($E$28^2))*D117*$B$28,4))</f>
        <v>1.8992</v>
      </c>
      <c r="E132" s="305">
        <f t="shared" si="260"/>
        <v>2.4413999999999998</v>
      </c>
      <c r="F132" s="305">
        <f t="shared" si="260"/>
        <v>1.6052999999999999</v>
      </c>
      <c r="G132" s="305">
        <f t="shared" si="260"/>
        <v>1.8992</v>
      </c>
      <c r="H132" s="305">
        <f t="shared" ref="H132" si="261">ABS(ROUND(-(0.5-$G$28/($E$28^2))*H117*$B$28,4))</f>
        <v>3.2894000000000001</v>
      </c>
      <c r="R132" s="263"/>
      <c r="Z132" s="263"/>
      <c r="AM132" s="269"/>
      <c r="AN132" s="269"/>
      <c r="AO132" s="269"/>
      <c r="AP132" s="269"/>
    </row>
    <row r="133" spans="1:42" ht="26.1" customHeight="1">
      <c r="A133" s="304" t="s">
        <v>239</v>
      </c>
      <c r="B133" s="305">
        <f>ROUND((0.5-$G$28+$G$29)*B117*$B$29,4)</f>
        <v>0.27589999999999998</v>
      </c>
      <c r="C133" s="305">
        <f>ABS(ROUND((0.5-$G$28+$G$29)*C117*$B$29,4))</f>
        <v>0.54969999999999997</v>
      </c>
      <c r="D133" s="305">
        <f t="shared" ref="D133:G133" si="262">ABS(ROUND((0.5-$G$28+$G$29)*D117*$B$29,4))</f>
        <v>1.5826</v>
      </c>
      <c r="E133" s="305">
        <f t="shared" si="262"/>
        <v>2.0345</v>
      </c>
      <c r="F133" s="305">
        <f t="shared" si="262"/>
        <v>1.3376999999999999</v>
      </c>
      <c r="G133" s="305">
        <f t="shared" si="262"/>
        <v>1.5826</v>
      </c>
      <c r="H133" s="305">
        <f t="shared" ref="H133" si="263">ABS(ROUND((0.5-$G$28+$G$29)*H117*$B$29,4))</f>
        <v>2.7412000000000001</v>
      </c>
      <c r="R133" s="263"/>
      <c r="Z133" s="263"/>
      <c r="AM133" s="269"/>
      <c r="AN133" s="269"/>
      <c r="AO133" s="269"/>
      <c r="AP133" s="269"/>
    </row>
    <row r="134" spans="1:42" ht="26.1" customHeight="1">
      <c r="A134" s="304" t="s">
        <v>240</v>
      </c>
      <c r="B134" s="305">
        <f>ROUND(-(0.5+$G$28-$G$29)*B117*$B$29,4)</f>
        <v>-0.27589999999999998</v>
      </c>
      <c r="C134" s="305">
        <f>ABS(ROUND(-(0.5+$G$28-$G$29)*C117*$B$29,4))</f>
        <v>0.54969999999999997</v>
      </c>
      <c r="D134" s="305">
        <f t="shared" ref="D134:G134" si="264">ABS(ROUND(-(0.5+$G$28-$G$29)*D117*$B$29,4))</f>
        <v>1.5826</v>
      </c>
      <c r="E134" s="305">
        <f t="shared" si="264"/>
        <v>2.0345</v>
      </c>
      <c r="F134" s="305">
        <f t="shared" si="264"/>
        <v>1.3376999999999999</v>
      </c>
      <c r="G134" s="305">
        <f t="shared" si="264"/>
        <v>1.5826</v>
      </c>
      <c r="H134" s="305">
        <f t="shared" ref="H134" si="265">ABS(ROUND(-(0.5+$G$28-$G$29)*H117*$B$29,4))</f>
        <v>2.7412000000000001</v>
      </c>
      <c r="R134" s="263"/>
      <c r="Z134" s="263"/>
      <c r="AM134" s="269"/>
      <c r="AN134" s="269"/>
      <c r="AO134" s="269"/>
      <c r="AP134" s="269"/>
    </row>
    <row r="135" spans="1:42" ht="26.1" customHeight="1">
      <c r="A135" s="304" t="s">
        <v>241</v>
      </c>
      <c r="B135" s="305">
        <f>ROUND((0.5-$G$29/($E$29^2))*B117*$B$30,4)</f>
        <v>0.33110000000000001</v>
      </c>
      <c r="C135" s="305">
        <f>ABS(ROUND((0.5-$G$29/($E$29^2))*C117*$B$30,4))</f>
        <v>0.65959999999999996</v>
      </c>
      <c r="D135" s="305">
        <f t="shared" ref="D135:G135" si="266">ABS(ROUND((0.5-$G$29/($E$29^2))*D117*$B$30,4))</f>
        <v>1.8992</v>
      </c>
      <c r="E135" s="305">
        <f t="shared" si="266"/>
        <v>2.4413999999999998</v>
      </c>
      <c r="F135" s="305">
        <f t="shared" si="266"/>
        <v>1.6052999999999999</v>
      </c>
      <c r="G135" s="305">
        <f t="shared" si="266"/>
        <v>1.8992</v>
      </c>
      <c r="H135" s="305">
        <f t="shared" ref="H135" si="267">ABS(ROUND((0.5-$G$29/($E$29^2))*H117*$B$30,4))</f>
        <v>3.2894000000000001</v>
      </c>
      <c r="R135" s="263"/>
      <c r="Z135" s="263"/>
      <c r="AM135" s="269"/>
      <c r="AN135" s="269"/>
      <c r="AO135" s="269"/>
      <c r="AP135" s="269"/>
    </row>
    <row r="136" spans="1:42" ht="26.1" customHeight="1">
      <c r="A136" s="277" t="s">
        <v>242</v>
      </c>
      <c r="B136" s="277">
        <f t="shared" ref="B136:H136" si="268">$B$33*$B$6*$B$32/100</f>
        <v>0.28799999999999998</v>
      </c>
      <c r="C136" s="277">
        <f t="shared" si="268"/>
        <v>0.28799999999999998</v>
      </c>
      <c r="D136" s="277">
        <f t="shared" si="268"/>
        <v>0.28799999999999998</v>
      </c>
      <c r="E136" s="277">
        <f t="shared" si="268"/>
        <v>0.28799999999999998</v>
      </c>
      <c r="F136" s="277">
        <f t="shared" si="268"/>
        <v>0.28799999999999998</v>
      </c>
      <c r="G136" s="277">
        <f t="shared" si="268"/>
        <v>0.28799999999999998</v>
      </c>
      <c r="H136" s="277">
        <f t="shared" si="268"/>
        <v>0.28799999999999998</v>
      </c>
      <c r="R136" s="263"/>
      <c r="Z136" s="263"/>
      <c r="AM136" s="269"/>
      <c r="AN136" s="269"/>
      <c r="AO136" s="269"/>
      <c r="AP136" s="269"/>
    </row>
    <row r="137" spans="1:42" ht="26.1" customHeight="1">
      <c r="A137" s="277" t="s">
        <v>243</v>
      </c>
      <c r="B137" s="277">
        <f t="shared" ref="B137:G137" si="269">ROUND(B99*$B$9*$B$8*$B$33*B106*B102*B103,4)</f>
        <v>0.73129999999999995</v>
      </c>
      <c r="C137" s="277">
        <f t="shared" si="269"/>
        <v>1.0197000000000001</v>
      </c>
      <c r="D137" s="277">
        <f t="shared" si="269"/>
        <v>2.0175000000000001</v>
      </c>
      <c r="E137" s="277">
        <f t="shared" si="269"/>
        <v>2.4462000000000002</v>
      </c>
      <c r="F137" s="277">
        <f t="shared" si="269"/>
        <v>1.6140000000000001</v>
      </c>
      <c r="G137" s="277">
        <f t="shared" si="269"/>
        <v>2.0175000000000001</v>
      </c>
      <c r="H137" s="277">
        <f t="shared" ref="H137" si="270">ROUND(H99*$B$9*$B$8*$B$33*H106*H102*H103,4)</f>
        <v>1.9670000000000001</v>
      </c>
      <c r="R137" s="263"/>
      <c r="Z137" s="263"/>
    </row>
    <row r="138" spans="1:42" ht="26.1" customHeight="1">
      <c r="A138" s="277" t="s">
        <v>245</v>
      </c>
      <c r="B138" s="277">
        <f>B136+B137</f>
        <v>1.0193000000000001</v>
      </c>
      <c r="C138" s="277">
        <f t="shared" ref="C138:G138" si="271">C136+C137</f>
        <v>1.3077000000000001</v>
      </c>
      <c r="D138" s="277">
        <f t="shared" si="271"/>
        <v>2.3054999999999999</v>
      </c>
      <c r="E138" s="277">
        <f t="shared" si="271"/>
        <v>2.7342</v>
      </c>
      <c r="F138" s="277">
        <f t="shared" si="271"/>
        <v>1.9019999999999999</v>
      </c>
      <c r="G138" s="277">
        <f t="shared" si="271"/>
        <v>2.3054999999999999</v>
      </c>
      <c r="H138" s="277">
        <f t="shared" ref="H138" si="272">H136+H137</f>
        <v>2.2549999999999999</v>
      </c>
      <c r="R138" s="263"/>
      <c r="Z138" s="263"/>
    </row>
    <row r="139" spans="1:42" ht="26.1" customHeight="1">
      <c r="A139" s="389" t="s">
        <v>247</v>
      </c>
      <c r="B139" s="389"/>
      <c r="C139" s="389"/>
      <c r="D139" s="389"/>
      <c r="E139" s="389"/>
      <c r="F139" s="389"/>
      <c r="G139" s="389"/>
      <c r="H139" s="389"/>
      <c r="R139" s="263"/>
      <c r="Z139" s="263"/>
    </row>
    <row r="140" spans="1:42" ht="26.1" customHeight="1">
      <c r="A140" s="395"/>
      <c r="B140" s="395"/>
      <c r="C140" s="395"/>
      <c r="D140" s="395"/>
      <c r="E140" s="395"/>
      <c r="F140" s="395"/>
      <c r="G140" s="395"/>
      <c r="H140" s="395"/>
      <c r="R140" s="263"/>
      <c r="Z140" s="263"/>
    </row>
    <row r="141" spans="1:42" ht="26.1" customHeight="1">
      <c r="A141" s="395"/>
      <c r="B141" s="395"/>
      <c r="C141" s="395"/>
      <c r="D141" s="395"/>
      <c r="E141" s="395"/>
      <c r="F141" s="395"/>
      <c r="G141" s="395"/>
      <c r="H141" s="395"/>
      <c r="R141" s="263"/>
      <c r="Z141" s="263"/>
    </row>
    <row r="142" spans="1:42" ht="26.1" customHeight="1">
      <c r="A142" s="396"/>
      <c r="B142" s="396"/>
      <c r="C142" s="396"/>
      <c r="D142" s="396"/>
      <c r="E142" s="396"/>
      <c r="F142" s="396"/>
      <c r="G142" s="396"/>
      <c r="H142" s="396"/>
      <c r="R142" s="263"/>
      <c r="Z142" s="263"/>
    </row>
    <row r="143" spans="1:42" ht="26.1" customHeight="1">
      <c r="A143" s="276" t="s">
        <v>248</v>
      </c>
      <c r="B143" s="277">
        <f>ROUND(MAX(B118:B119)*1000000/$B$16+MAX(B123:B124)*1000000/$B$17,2)</f>
        <v>55.58</v>
      </c>
      <c r="C143" s="277">
        <f t="shared" ref="C143:G143" si="273">ROUND(MAX(C118:C119)*1000000/$B$16+MAX(C123:C124)*1000000/$B$17,2)</f>
        <v>34.01</v>
      </c>
      <c r="D143" s="277">
        <f t="shared" si="273"/>
        <v>109.45</v>
      </c>
      <c r="E143" s="277">
        <f t="shared" si="273"/>
        <v>183.25</v>
      </c>
      <c r="F143" s="277">
        <f t="shared" si="273"/>
        <v>73.400000000000006</v>
      </c>
      <c r="G143" s="277">
        <f t="shared" si="273"/>
        <v>109.45</v>
      </c>
      <c r="H143" s="277">
        <f t="shared" ref="H143" si="274">ROUND(MAX(H118:H119)*1000000/$B$16+MAX(H123:H124)*1000000/$B$17,2)</f>
        <v>256.14999999999998</v>
      </c>
      <c r="R143" s="263"/>
      <c r="Z143" s="263"/>
    </row>
    <row r="144" spans="1:42" ht="26.1" customHeight="1">
      <c r="A144" s="277" t="s">
        <v>249</v>
      </c>
      <c r="B144" s="277">
        <f>ROUND(SQRT(MAX(B130:B131)^2+MAX(B134:B135)^2)*1000*$B$22,2)</f>
        <v>3.27</v>
      </c>
      <c r="C144" s="277">
        <f t="shared" ref="C144:G144" si="275">ROUND(SQRT(MAX(C130:C131)^2+MAX(C134:C135)^2)*1000*$B$22,2)</f>
        <v>1.86</v>
      </c>
      <c r="D144" s="277">
        <f t="shared" si="275"/>
        <v>5.97</v>
      </c>
      <c r="E144" s="277">
        <f t="shared" si="275"/>
        <v>10.07</v>
      </c>
      <c r="F144" s="277">
        <f t="shared" si="275"/>
        <v>4.08</v>
      </c>
      <c r="G144" s="277">
        <f t="shared" si="275"/>
        <v>5.97</v>
      </c>
      <c r="H144" s="277">
        <f t="shared" ref="H144" si="276">ROUND(SQRT(MAX(H130:H131)^2+MAX(H134:H135)^2)*1000*$B$22,2)</f>
        <v>14.11</v>
      </c>
      <c r="R144" s="263"/>
      <c r="Z144" s="263"/>
    </row>
    <row r="145" spans="1:26" ht="26.1" customHeight="1">
      <c r="A145" s="307" t="s">
        <v>250</v>
      </c>
      <c r="B145" s="277">
        <f>ROUND(B138*1000000*$B$23,2)</f>
        <v>12.99</v>
      </c>
      <c r="C145" s="277">
        <f t="shared" ref="C145:G145" si="277">ROUND(C138*1000000*$B$23,2)</f>
        <v>16.66</v>
      </c>
      <c r="D145" s="277">
        <f t="shared" si="277"/>
        <v>29.38</v>
      </c>
      <c r="E145" s="277">
        <f t="shared" si="277"/>
        <v>34.840000000000003</v>
      </c>
      <c r="F145" s="277">
        <f t="shared" si="277"/>
        <v>24.24</v>
      </c>
      <c r="G145" s="277">
        <f t="shared" si="277"/>
        <v>29.38</v>
      </c>
      <c r="H145" s="277">
        <f t="shared" ref="H145" si="278">ROUND(H138*1000000*$B$23,2)</f>
        <v>28.73</v>
      </c>
      <c r="R145" s="263"/>
      <c r="Z145" s="263"/>
    </row>
    <row r="146" spans="1:26" ht="26.1" customHeight="1">
      <c r="A146" s="276" t="s">
        <v>251</v>
      </c>
      <c r="B146" s="277">
        <f>ROUND(SQRT(B143^2+3*(B144+B145)^2),2)</f>
        <v>62.31</v>
      </c>
      <c r="C146" s="277">
        <f t="shared" ref="C146:G146" si="279">ROUND(SQRT(C143^2+3*(C144+C145)^2),2)</f>
        <v>46.75</v>
      </c>
      <c r="D146" s="277">
        <f t="shared" si="279"/>
        <v>125.41</v>
      </c>
      <c r="E146" s="277">
        <f t="shared" si="279"/>
        <v>199.08</v>
      </c>
      <c r="F146" s="277">
        <f t="shared" si="279"/>
        <v>88.28</v>
      </c>
      <c r="G146" s="277">
        <f t="shared" si="279"/>
        <v>125.41</v>
      </c>
      <c r="H146" s="277">
        <f t="shared" ref="H146" si="280">ROUND(SQRT(H143^2+3*(H144+H145)^2),2)</f>
        <v>266.68</v>
      </c>
      <c r="R146" s="263"/>
      <c r="Z146" s="263"/>
    </row>
    <row r="147" spans="1:26" ht="26.1" customHeight="1">
      <c r="A147" s="278" t="s">
        <v>252</v>
      </c>
      <c r="B147" s="308">
        <f>B146/$B$15</f>
        <v>0.16484126984127001</v>
      </c>
      <c r="C147" s="308">
        <f t="shared" ref="C147:G147" si="281">C146/$B$15</f>
        <v>0.123677248677249</v>
      </c>
      <c r="D147" s="308">
        <f t="shared" si="281"/>
        <v>0.331772486772487</v>
      </c>
      <c r="E147" s="308">
        <f t="shared" si="281"/>
        <v>0.52666666666666695</v>
      </c>
      <c r="F147" s="308">
        <f t="shared" si="281"/>
        <v>0.233544973544974</v>
      </c>
      <c r="G147" s="308">
        <f t="shared" si="281"/>
        <v>0.331772486772487</v>
      </c>
      <c r="H147" s="308">
        <f t="shared" ref="H147" si="282">H146/$B$15</f>
        <v>0.70550264550264596</v>
      </c>
      <c r="R147" s="263"/>
      <c r="Z147" s="263"/>
    </row>
    <row r="148" spans="1:26" ht="26.1" customHeight="1">
      <c r="A148" s="310" t="s">
        <v>265</v>
      </c>
      <c r="B148" s="290"/>
      <c r="C148" s="290"/>
      <c r="D148" s="290"/>
      <c r="E148" s="290"/>
      <c r="F148" s="290"/>
      <c r="G148" s="290"/>
      <c r="R148" s="263"/>
      <c r="Z148" s="263"/>
    </row>
    <row r="149" spans="1:26" ht="26.1" customHeight="1">
      <c r="A149" s="310"/>
      <c r="R149" s="263"/>
      <c r="Z149" s="263"/>
    </row>
    <row r="150" spans="1:26" ht="26.1" customHeight="1">
      <c r="A150" s="267" t="s">
        <v>103</v>
      </c>
      <c r="B150" s="268" t="s">
        <v>160</v>
      </c>
      <c r="R150" s="263"/>
      <c r="Z150" s="263"/>
    </row>
    <row r="151" spans="1:26" ht="26.1" customHeight="1">
      <c r="A151" s="267" t="s">
        <v>266</v>
      </c>
      <c r="B151" s="268" t="s">
        <v>267</v>
      </c>
      <c r="R151" s="263"/>
      <c r="Z151" s="263"/>
    </row>
    <row r="152" spans="1:26" ht="26.1" customHeight="1">
      <c r="A152" s="267" t="s">
        <v>268</v>
      </c>
      <c r="B152" s="272" t="str">
        <f>IF(B150="钢管",VLOOKUP(B151,$J$5:$U$12,2,FALSE),IF(B150="方管",VLOOKUP(B151,$AA$5:$AP$12,2,FALSE),IF(B150="H型钢",VLOOKUP(B151,$J$17:$U$26,2,FALSE),IF(B150="多棱管",VLOOKUP(B151,$J$30:$U$31,2,FALSE),IF(B150="几型钢",VLOOKUP(B151,$AA$30:$AP$31,2,FALSE),IF(B150="自定义",VLOOKUP(B151,$AA$17:$AI$26,2,FALSE)))))))</f>
        <v>Q355B</v>
      </c>
      <c r="R152" s="263"/>
      <c r="Z152" s="263"/>
    </row>
    <row r="153" spans="1:26" ht="26.1" customHeight="1">
      <c r="A153" s="267" t="s">
        <v>108</v>
      </c>
      <c r="B153" s="272">
        <f>IF(B152="Q355B",310,IF(B152="Q235B",210,IF(B152="Q420B",380)))</f>
        <v>310</v>
      </c>
      <c r="C153" s="271" t="s">
        <v>109</v>
      </c>
      <c r="R153" s="263"/>
      <c r="Z153" s="263"/>
    </row>
    <row r="154" spans="1:26" ht="26.1" customHeight="1">
      <c r="A154" s="267" t="s">
        <v>269</v>
      </c>
      <c r="B154" s="272">
        <f>IF(B150="钢管",VLOOKUP(B151,$J$5:$U$12,11,FALSE),IF(B150="方管",VLOOKUP(B151,$AA$5:$AP$12,15,FALSE),IF(B150="H型钢",VLOOKUP(B151,$J$17:$U$26,11,FALSE),IF(B150="多棱管",VLOOKUP(B151,$J$30:$U$31,11,FALSE),IF(B150="几型钢",VLOOKUP(B151,$AA$30:$AP$31,15,FALSE),IF(B150="自定义",VLOOKUP(B151,$AA$17:$AI$26,6,FALSE)))))))</f>
        <v>3401.1</v>
      </c>
      <c r="C154" s="271" t="s">
        <v>115</v>
      </c>
      <c r="R154" s="263"/>
      <c r="Z154" s="263"/>
    </row>
    <row r="155" spans="1:26" ht="26.1" customHeight="1">
      <c r="A155" s="267" t="s">
        <v>270</v>
      </c>
      <c r="B155" s="272">
        <f>IF(B150="钢管",VLOOKUP(B151,$J$5:$U$12,12,FALSE),IF(B150="方管",VLOOKUP(B151,$AA$5:$AP$12,16,FALSE),IF(B150="H型钢",VLOOKUP(B151,$J$17:$U$26,12,FALSE),IF(B150="多棱管",VLOOKUP(B151,$J$30:$U$31,12,FALSE),IF(B150="几型钢",VLOOKUP(B151,$AA$30:$AP$31,16,FALSE),IF(B150="自定义",VLOOKUP(B151,$AA$17:$AI$26,7,FALSE)))))))</f>
        <v>2339.3200000000002</v>
      </c>
      <c r="C155" s="271" t="s">
        <v>115</v>
      </c>
      <c r="R155" s="263"/>
      <c r="Z155" s="263"/>
    </row>
    <row r="156" spans="1:26" ht="26.1" customHeight="1">
      <c r="A156" s="292" t="s">
        <v>150</v>
      </c>
      <c r="B156" s="272">
        <f>IF(B150="钢管",VLOOKUP(B151,$J$5:$U$12,9,FALSE),IF(B150="方管",VLOOKUP(B151,$AA$5:$AP$12,13,FALSE),IF(B150="H型钢",VLOOKUP(B151,$J$17:$U$26,9,FALSE),IF(B150="多棱管",VLOOKUP(B151,$J$30:$U$31,9,FALSE),IF(B150="几型钢",VLOOKUP(B151,$AA$30:$AP$31,13,FALSE),IF(B150="自定义",VLOOKUP(B151,$AA$17:$AI$26,4,FALSE)))))))</f>
        <v>96965.19</v>
      </c>
      <c r="C156" s="271" t="s">
        <v>151</v>
      </c>
      <c r="R156" s="263"/>
      <c r="Z156" s="263"/>
    </row>
    <row r="157" spans="1:26" ht="26.1" customHeight="1">
      <c r="A157" s="267" t="s">
        <v>271</v>
      </c>
      <c r="B157" s="272">
        <f>IF(B150="钢管",VLOOKUP(B151,$J$5:$U$12,10,FALSE),IF(B150="方管",VLOOKUP(B151,$AA$5:$AP$12,14,FALSE),IF(B150="H型钢",VLOOKUP(B151,$J$17:$U$26,10,FALSE),IF(B150="多棱管",VLOOKUP(B151,$J$30:$U$31,10,FALSE),IF(B150="几型钢",VLOOKUP(B151,$AA$30:$AP$31,14,FALSE),IF(B150="自定义",VLOOKUP(B151,$AA$17:$AI$26,5,FALSE)))))))</f>
        <v>93572.88</v>
      </c>
      <c r="C157" s="271" t="s">
        <v>151</v>
      </c>
      <c r="R157" s="263"/>
      <c r="Z157" s="263"/>
    </row>
    <row r="158" spans="1:26" ht="26.1" customHeight="1">
      <c r="A158" s="267" t="s">
        <v>272</v>
      </c>
      <c r="B158" s="293">
        <v>206000</v>
      </c>
      <c r="C158" s="271" t="s">
        <v>109</v>
      </c>
      <c r="R158" s="263"/>
      <c r="Z158" s="263"/>
    </row>
    <row r="159" spans="1:26" ht="26.1" customHeight="1">
      <c r="A159" s="267" t="s">
        <v>273</v>
      </c>
      <c r="B159" s="272">
        <f>IF(B150="钢管",VLOOKUP(B151,$J$5:$U$12,7,FALSE),IF(B150="方管",VLOOKUP(B151,$AA$5:$AP$12,11,FALSE),IF(B150="H型钢",VLOOKUP(B151,$J$17:$U$26,7,FALSE),IF(B150="多棱管",VLOOKUP(B151,$J$30:$U$31,7,FALSE),IF(B150="几型钢",VLOOKUP(B151,$AA$30:$AP$31,11,FALSE),IF(B150="自定义",VLOOKUP(B151,$AA$17:$AI$26,9,FALSE)))))))</f>
        <v>0.02</v>
      </c>
      <c r="C159" s="271" t="s">
        <v>155</v>
      </c>
      <c r="D159" s="263" t="s">
        <v>274</v>
      </c>
      <c r="E159" s="263">
        <f>(B162-B160)/2</f>
        <v>-5.0999999999999698E-2</v>
      </c>
      <c r="F159" s="271" t="s">
        <v>36</v>
      </c>
      <c r="R159" s="263"/>
      <c r="Z159" s="263"/>
    </row>
    <row r="160" spans="1:26" ht="26.1" customHeight="1">
      <c r="A160" s="267" t="s">
        <v>275</v>
      </c>
      <c r="B160" s="268">
        <v>4.6719999999999997</v>
      </c>
      <c r="C160" s="271" t="s">
        <v>36</v>
      </c>
      <c r="D160" s="263" t="s">
        <v>276</v>
      </c>
      <c r="E160" s="263">
        <f>B160</f>
        <v>4.6719999999999997</v>
      </c>
      <c r="F160" s="271" t="s">
        <v>36</v>
      </c>
      <c r="R160" s="263"/>
      <c r="Z160" s="263"/>
    </row>
    <row r="161" spans="1:26" ht="26.1" customHeight="1">
      <c r="A161" s="267" t="s">
        <v>277</v>
      </c>
      <c r="B161" s="268">
        <v>0.152</v>
      </c>
      <c r="C161" s="271" t="s">
        <v>36</v>
      </c>
      <c r="D161" s="263" t="s">
        <v>278</v>
      </c>
      <c r="E161" s="263">
        <f>(B160-B161)/2</f>
        <v>2.2599999999999998</v>
      </c>
      <c r="F161" s="271" t="s">
        <v>36</v>
      </c>
      <c r="R161" s="263"/>
      <c r="Z161" s="263"/>
    </row>
    <row r="162" spans="1:26" ht="26.1" customHeight="1">
      <c r="A162" s="267" t="s">
        <v>279</v>
      </c>
      <c r="B162" s="263">
        <f>B8</f>
        <v>4.57</v>
      </c>
      <c r="C162" s="271" t="s">
        <v>36</v>
      </c>
      <c r="R162" s="263"/>
      <c r="Z162" s="263"/>
    </row>
    <row r="163" spans="1:26" ht="26.1" customHeight="1">
      <c r="A163" s="267"/>
      <c r="C163" s="271"/>
      <c r="R163" s="263"/>
      <c r="Z163" s="263"/>
    </row>
    <row r="164" spans="1:26" ht="26.1" customHeight="1">
      <c r="A164" s="267"/>
      <c r="C164" s="271"/>
      <c r="R164" s="263"/>
      <c r="Z164" s="263"/>
    </row>
    <row r="165" spans="1:26" ht="26.1" customHeight="1">
      <c r="A165" s="271"/>
      <c r="C165" s="271"/>
      <c r="R165" s="263"/>
      <c r="Z165" s="263"/>
    </row>
    <row r="166" spans="1:26" ht="26.1" customHeight="1">
      <c r="A166" s="267"/>
      <c r="C166" s="271"/>
      <c r="R166" s="263"/>
      <c r="Z166" s="263"/>
    </row>
    <row r="167" spans="1:26" ht="26.1" customHeight="1">
      <c r="A167" s="267"/>
      <c r="C167" s="271"/>
      <c r="R167" s="263"/>
      <c r="Z167" s="263"/>
    </row>
    <row r="168" spans="1:26" ht="26.1" customHeight="1">
      <c r="A168" s="291" t="s">
        <v>280</v>
      </c>
      <c r="C168" s="271"/>
      <c r="R168" s="263"/>
      <c r="Z168" s="263"/>
    </row>
    <row r="169" spans="1:26" ht="26.1" customHeight="1">
      <c r="A169" s="311" t="s">
        <v>281</v>
      </c>
      <c r="B169" s="277">
        <f t="shared" ref="B169:G170" si="283">B96</f>
        <v>5</v>
      </c>
      <c r="C169" s="277">
        <f t="shared" si="283"/>
        <v>10</v>
      </c>
      <c r="D169" s="277">
        <f t="shared" si="283"/>
        <v>30</v>
      </c>
      <c r="E169" s="277">
        <f t="shared" si="283"/>
        <v>40</v>
      </c>
      <c r="F169" s="277">
        <f t="shared" si="283"/>
        <v>25</v>
      </c>
      <c r="G169" s="277">
        <f t="shared" si="283"/>
        <v>30</v>
      </c>
      <c r="H169" s="277">
        <f t="shared" ref="H169" si="284">H96</f>
        <v>60</v>
      </c>
      <c r="R169" s="263"/>
      <c r="Z169" s="263"/>
    </row>
    <row r="170" spans="1:26" ht="26.1" customHeight="1">
      <c r="A170" s="277" t="s">
        <v>190</v>
      </c>
      <c r="B170" s="277" t="str">
        <f t="shared" si="283"/>
        <v>正常运行</v>
      </c>
      <c r="C170" s="277" t="str">
        <f t="shared" si="283"/>
        <v>停止保护</v>
      </c>
      <c r="D170" s="277" t="str">
        <f t="shared" si="283"/>
        <v>正常运行</v>
      </c>
      <c r="E170" s="277" t="str">
        <f t="shared" si="283"/>
        <v>正常运行</v>
      </c>
      <c r="F170" s="277" t="str">
        <f t="shared" si="283"/>
        <v>正常运行</v>
      </c>
      <c r="G170" s="277" t="str">
        <f t="shared" si="283"/>
        <v>正常运行</v>
      </c>
      <c r="H170" s="277" t="str">
        <f t="shared" ref="H170" si="285">H97</f>
        <v>正常运行</v>
      </c>
      <c r="R170" s="263"/>
      <c r="Z170" s="263"/>
    </row>
    <row r="171" spans="1:26" ht="26.1" customHeight="1">
      <c r="A171" s="276" t="s">
        <v>194</v>
      </c>
      <c r="B171" s="277">
        <f t="shared" ref="B171:G171" si="286">B99</f>
        <v>0.20300000000000001</v>
      </c>
      <c r="C171" s="277">
        <f t="shared" si="286"/>
        <v>0.34200000000000003</v>
      </c>
      <c r="D171" s="277">
        <f t="shared" si="286"/>
        <v>0.20300000000000001</v>
      </c>
      <c r="E171" s="277">
        <f t="shared" si="286"/>
        <v>0.20300000000000001</v>
      </c>
      <c r="F171" s="277">
        <f t="shared" si="286"/>
        <v>0.20300000000000001</v>
      </c>
      <c r="G171" s="277">
        <f t="shared" si="286"/>
        <v>0.20300000000000001</v>
      </c>
      <c r="H171" s="277">
        <f t="shared" ref="H171" si="287">H99</f>
        <v>0.20300000000000001</v>
      </c>
      <c r="R171" s="263"/>
      <c r="Z171" s="263"/>
    </row>
    <row r="172" spans="1:26" ht="26.1" customHeight="1">
      <c r="A172" s="276" t="s">
        <v>195</v>
      </c>
      <c r="B172" s="277">
        <f t="shared" ref="B172:G172" si="288">B38</f>
        <v>0.12</v>
      </c>
      <c r="C172" s="277">
        <f t="shared" si="288"/>
        <v>0.14000000000000001</v>
      </c>
      <c r="D172" s="277">
        <f t="shared" si="288"/>
        <v>0.62</v>
      </c>
      <c r="E172" s="277">
        <f t="shared" si="288"/>
        <v>0.9</v>
      </c>
      <c r="F172" s="277">
        <f t="shared" si="288"/>
        <v>0.52</v>
      </c>
      <c r="G172" s="277">
        <f t="shared" si="288"/>
        <v>0.62</v>
      </c>
      <c r="H172" s="277">
        <f t="shared" ref="H172" si="289">H38</f>
        <v>1.1200000000000001</v>
      </c>
      <c r="K172" s="69"/>
      <c r="R172" s="263"/>
      <c r="Z172" s="263"/>
    </row>
    <row r="173" spans="1:26" ht="26.1" customHeight="1">
      <c r="A173" s="276" t="s">
        <v>196</v>
      </c>
      <c r="B173" s="277">
        <f>B39</f>
        <v>0.41</v>
      </c>
      <c r="C173" s="277">
        <f t="shared" ref="C173:G173" si="290">C39</f>
        <v>0.38</v>
      </c>
      <c r="D173" s="277">
        <f t="shared" si="290"/>
        <v>1.42</v>
      </c>
      <c r="E173" s="277">
        <f t="shared" si="290"/>
        <v>1.87</v>
      </c>
      <c r="F173" s="277">
        <f t="shared" si="290"/>
        <v>1.1599999999999999</v>
      </c>
      <c r="G173" s="277">
        <f t="shared" si="290"/>
        <v>1.42</v>
      </c>
      <c r="H173" s="277">
        <f t="shared" ref="H173" si="291">H39</f>
        <v>1.77</v>
      </c>
      <c r="R173" s="263"/>
      <c r="Z173" s="263"/>
    </row>
    <row r="174" spans="1:26" ht="26.1" customHeight="1">
      <c r="A174" s="276" t="s">
        <v>198</v>
      </c>
      <c r="B174" s="274">
        <v>1.3</v>
      </c>
      <c r="C174" s="274">
        <v>1.3</v>
      </c>
      <c r="D174" s="274">
        <v>1.3</v>
      </c>
      <c r="E174" s="274">
        <v>1.3</v>
      </c>
      <c r="F174" s="274">
        <v>1.3</v>
      </c>
      <c r="G174" s="274">
        <v>1.3</v>
      </c>
      <c r="H174" s="274">
        <v>1.3</v>
      </c>
      <c r="R174" s="263"/>
      <c r="Z174" s="263"/>
    </row>
    <row r="175" spans="1:26" ht="26.1" customHeight="1">
      <c r="A175" s="278" t="s">
        <v>204</v>
      </c>
      <c r="B175" s="277">
        <f t="shared" ref="B175:G175" si="292">B171*B172*B174</f>
        <v>3.1668000000000002E-2</v>
      </c>
      <c r="C175" s="277">
        <f t="shared" si="292"/>
        <v>6.2244000000000001E-2</v>
      </c>
      <c r="D175" s="277">
        <f t="shared" si="292"/>
        <v>0.16361800000000001</v>
      </c>
      <c r="E175" s="277">
        <f t="shared" si="292"/>
        <v>0.23751</v>
      </c>
      <c r="F175" s="277">
        <f t="shared" si="292"/>
        <v>0.13722799999999999</v>
      </c>
      <c r="G175" s="277">
        <f t="shared" si="292"/>
        <v>0.16361800000000001</v>
      </c>
      <c r="H175" s="277">
        <f t="shared" ref="H175" si="293">H171*H172*H174</f>
        <v>0.295568</v>
      </c>
      <c r="R175" s="263"/>
      <c r="Z175" s="263"/>
    </row>
    <row r="176" spans="1:26" ht="26.1" customHeight="1">
      <c r="A176" s="279" t="s">
        <v>205</v>
      </c>
      <c r="B176" s="277">
        <f>B171*B173*B174</f>
        <v>0.108199</v>
      </c>
      <c r="C176" s="277">
        <f>C171*C173*C174</f>
        <v>0.16894799999999999</v>
      </c>
      <c r="D176" s="277">
        <f t="shared" ref="D176:G176" si="294">D171*D173*D174</f>
        <v>0.37473800000000002</v>
      </c>
      <c r="E176" s="277">
        <f t="shared" si="294"/>
        <v>0.49349300000000001</v>
      </c>
      <c r="F176" s="277">
        <f t="shared" si="294"/>
        <v>0.30612400000000001</v>
      </c>
      <c r="G176" s="277">
        <f t="shared" si="294"/>
        <v>0.37473800000000002</v>
      </c>
      <c r="H176" s="277">
        <f t="shared" ref="H176" si="295">H171*H173*H174</f>
        <v>0.46710299999999999</v>
      </c>
      <c r="R176" s="263"/>
      <c r="Z176" s="263"/>
    </row>
    <row r="177" spans="1:26" ht="26.1" customHeight="1">
      <c r="A177" s="279" t="s">
        <v>206</v>
      </c>
      <c r="B177" s="277">
        <f t="shared" ref="B177:G178" si="296">B44</f>
        <v>1.4</v>
      </c>
      <c r="C177" s="277">
        <f t="shared" si="296"/>
        <v>1.4</v>
      </c>
      <c r="D177" s="277">
        <f t="shared" si="296"/>
        <v>1.4</v>
      </c>
      <c r="E177" s="277">
        <f t="shared" si="296"/>
        <v>1.4</v>
      </c>
      <c r="F177" s="277">
        <f t="shared" si="296"/>
        <v>1.4</v>
      </c>
      <c r="G177" s="277">
        <f t="shared" si="296"/>
        <v>1.4</v>
      </c>
      <c r="H177" s="277">
        <f t="shared" ref="H177" si="297">H44</f>
        <v>1.4</v>
      </c>
      <c r="R177" s="263"/>
      <c r="Z177" s="263"/>
    </row>
    <row r="178" spans="1:26" ht="26.1" customHeight="1">
      <c r="A178" s="279" t="s">
        <v>207</v>
      </c>
      <c r="B178" s="277">
        <f t="shared" si="296"/>
        <v>1.2</v>
      </c>
      <c r="C178" s="277">
        <f t="shared" si="296"/>
        <v>1.2</v>
      </c>
      <c r="D178" s="277">
        <f t="shared" si="296"/>
        <v>1.2</v>
      </c>
      <c r="E178" s="277">
        <f t="shared" si="296"/>
        <v>1.2</v>
      </c>
      <c r="F178" s="277">
        <f t="shared" si="296"/>
        <v>1.2</v>
      </c>
      <c r="G178" s="277">
        <f t="shared" si="296"/>
        <v>1.2</v>
      </c>
      <c r="H178" s="277">
        <f t="shared" ref="H178" si="298">H45</f>
        <v>1.2</v>
      </c>
      <c r="R178" s="263"/>
      <c r="Z178" s="263"/>
    </row>
    <row r="179" spans="1:26" ht="26.1" customHeight="1">
      <c r="A179" s="279" t="s">
        <v>282</v>
      </c>
      <c r="B179" s="277">
        <f>ROUND(B177*B175*$B$9/2,4)</f>
        <v>0.1148</v>
      </c>
      <c r="C179" s="277">
        <f t="shared" ref="C179:G179" si="299">ROUND(C177*C175*$B$9/2,4)</f>
        <v>0.22559999999999999</v>
      </c>
      <c r="D179" s="277">
        <f t="shared" si="299"/>
        <v>0.59299999999999997</v>
      </c>
      <c r="E179" s="277">
        <f t="shared" si="299"/>
        <v>0.86080000000000001</v>
      </c>
      <c r="F179" s="277">
        <f t="shared" si="299"/>
        <v>0.49740000000000001</v>
      </c>
      <c r="G179" s="277">
        <f t="shared" si="299"/>
        <v>0.59299999999999997</v>
      </c>
      <c r="H179" s="277">
        <f t="shared" ref="H179" si="300">ROUND(H177*H175*$B$9/2,4)</f>
        <v>1.0712999999999999</v>
      </c>
      <c r="R179" s="263"/>
      <c r="Z179" s="263"/>
    </row>
    <row r="180" spans="1:26" ht="26.1" customHeight="1">
      <c r="A180" s="279" t="s">
        <v>283</v>
      </c>
      <c r="B180" s="277">
        <f>ROUND(B177*B176*$B$9/2,4)</f>
        <v>0.39219999999999999</v>
      </c>
      <c r="C180" s="277">
        <f t="shared" ref="C180:G180" si="301">ROUND(C177*C176*$B$9/2,4)</f>
        <v>0.61229999999999996</v>
      </c>
      <c r="D180" s="277">
        <f t="shared" si="301"/>
        <v>1.3582000000000001</v>
      </c>
      <c r="E180" s="277">
        <f t="shared" si="301"/>
        <v>1.7886</v>
      </c>
      <c r="F180" s="277">
        <f t="shared" si="301"/>
        <v>1.1094999999999999</v>
      </c>
      <c r="G180" s="277">
        <f t="shared" si="301"/>
        <v>1.3582000000000001</v>
      </c>
      <c r="H180" s="277">
        <f t="shared" ref="H180" si="302">ROUND(H177*H176*$B$9/2,4)</f>
        <v>1.6930000000000001</v>
      </c>
      <c r="R180" s="263"/>
      <c r="Z180" s="263"/>
    </row>
    <row r="181" spans="1:26" ht="26.1" customHeight="1">
      <c r="A181" s="279" t="s">
        <v>284</v>
      </c>
      <c r="B181" s="277">
        <f>ROUND(B179/(0.5*$B$162),4)</f>
        <v>5.0200000000000002E-2</v>
      </c>
      <c r="C181" s="277">
        <f t="shared" ref="C181:G181" si="303">ROUND(C179/(0.5*$B$162),4)</f>
        <v>9.8699999999999996E-2</v>
      </c>
      <c r="D181" s="277">
        <f t="shared" si="303"/>
        <v>0.25950000000000001</v>
      </c>
      <c r="E181" s="277">
        <f t="shared" si="303"/>
        <v>0.37669999999999998</v>
      </c>
      <c r="F181" s="277">
        <f t="shared" si="303"/>
        <v>0.2177</v>
      </c>
      <c r="G181" s="277">
        <f t="shared" si="303"/>
        <v>0.25950000000000001</v>
      </c>
      <c r="H181" s="277">
        <f t="shared" ref="H181" si="304">ROUND(H179/(0.5*$B$162),4)</f>
        <v>0.46879999999999999</v>
      </c>
      <c r="R181" s="263"/>
      <c r="Z181" s="263"/>
    </row>
    <row r="182" spans="1:26" ht="26.1" customHeight="1">
      <c r="A182" s="279" t="s">
        <v>285</v>
      </c>
      <c r="B182" s="277">
        <f>ROUND(B180/(0.5*$B$162),4)</f>
        <v>0.1716</v>
      </c>
      <c r="C182" s="277">
        <f t="shared" ref="C182:G182" si="305">ROUND(C180/(0.5*$B$162),4)</f>
        <v>0.26800000000000002</v>
      </c>
      <c r="D182" s="277">
        <f t="shared" si="305"/>
        <v>0.59440000000000004</v>
      </c>
      <c r="E182" s="277">
        <f t="shared" si="305"/>
        <v>0.78280000000000005</v>
      </c>
      <c r="F182" s="277">
        <f t="shared" si="305"/>
        <v>0.48559999999999998</v>
      </c>
      <c r="G182" s="277">
        <f t="shared" si="305"/>
        <v>0.59440000000000004</v>
      </c>
      <c r="H182" s="277">
        <f t="shared" ref="H182" si="306">ROUND(H180/(0.5*$B$162),4)</f>
        <v>0.7409</v>
      </c>
      <c r="R182" s="263"/>
      <c r="Z182" s="263"/>
    </row>
    <row r="183" spans="1:26" ht="26.1" customHeight="1">
      <c r="A183" s="279" t="s">
        <v>286</v>
      </c>
      <c r="B183" s="277">
        <f t="shared" ref="B183:G183" si="307">ROUND(B178*$B$6/100*COS(RADIANS(B169))/$B$162,4)</f>
        <v>0.16739999999999999</v>
      </c>
      <c r="C183" s="277">
        <f t="shared" si="307"/>
        <v>0.16550000000000001</v>
      </c>
      <c r="D183" s="277">
        <f t="shared" si="307"/>
        <v>0.14549999999999999</v>
      </c>
      <c r="E183" s="277">
        <f t="shared" si="307"/>
        <v>0.12870000000000001</v>
      </c>
      <c r="F183" s="277">
        <f t="shared" si="307"/>
        <v>0.15229999999999999</v>
      </c>
      <c r="G183" s="277">
        <f t="shared" si="307"/>
        <v>0.14549999999999999</v>
      </c>
      <c r="H183" s="277">
        <f t="shared" ref="H183" si="308">ROUND(H178*$B$6/100*COS(RADIANS(H169))/$B$162,4)</f>
        <v>8.4000000000000005E-2</v>
      </c>
      <c r="R183" s="263"/>
      <c r="Z183" s="263"/>
    </row>
    <row r="184" spans="1:26" ht="26.1" customHeight="1">
      <c r="A184" s="295" t="s">
        <v>287</v>
      </c>
      <c r="B184" s="296">
        <f>B181+B183</f>
        <v>0.21759999999999999</v>
      </c>
      <c r="C184" s="296">
        <f t="shared" ref="C184:G184" si="309">C181+C183</f>
        <v>0.26419999999999999</v>
      </c>
      <c r="D184" s="296">
        <f t="shared" si="309"/>
        <v>0.40500000000000003</v>
      </c>
      <c r="E184" s="296">
        <f t="shared" si="309"/>
        <v>0.50539999999999996</v>
      </c>
      <c r="F184" s="296">
        <f t="shared" si="309"/>
        <v>0.37</v>
      </c>
      <c r="G184" s="296">
        <f t="shared" si="309"/>
        <v>0.40500000000000003</v>
      </c>
      <c r="H184" s="296">
        <f t="shared" ref="H184" si="310">H181+H183</f>
        <v>0.55279999999999996</v>
      </c>
      <c r="R184" s="263"/>
      <c r="Z184" s="263"/>
    </row>
    <row r="185" spans="1:26" ht="26.1" customHeight="1">
      <c r="A185" s="296" t="s">
        <v>288</v>
      </c>
      <c r="B185" s="296">
        <f>B182+B183</f>
        <v>0.33900000000000002</v>
      </c>
      <c r="C185" s="296">
        <f t="shared" ref="C185:G185" si="311">C182+C183</f>
        <v>0.4335</v>
      </c>
      <c r="D185" s="296">
        <f t="shared" si="311"/>
        <v>0.7399</v>
      </c>
      <c r="E185" s="296">
        <f t="shared" si="311"/>
        <v>0.91149999999999998</v>
      </c>
      <c r="F185" s="296">
        <f t="shared" si="311"/>
        <v>0.63790000000000002</v>
      </c>
      <c r="G185" s="296">
        <f t="shared" si="311"/>
        <v>0.7399</v>
      </c>
      <c r="H185" s="296">
        <f t="shared" ref="H185" si="312">H182+H183</f>
        <v>0.82489999999999997</v>
      </c>
      <c r="R185" s="263"/>
      <c r="Z185" s="263"/>
    </row>
    <row r="186" spans="1:26" ht="26.1" customHeight="1">
      <c r="A186" s="279" t="s">
        <v>289</v>
      </c>
      <c r="B186" s="277">
        <f>ROUND((B184*$B$162/2*(0.25*$B$162+$E$160*0.5)+B185*0.5*$E$160*0.25*$E$160-B185*$E$159*$E$159*0.5)/$E$160,4)</f>
        <v>0.56810000000000005</v>
      </c>
      <c r="C186" s="277">
        <f t="shared" ref="C186:G186" si="313">ROUND((C184*$B$162/2*(0.25*$B$162+$E$160*0.5)+C185*0.5*$E$160*0.25*$E$160-C185*$E$159*$E$159*0.5)/$E$160,4)</f>
        <v>0.70250000000000001</v>
      </c>
      <c r="D186" s="277">
        <f t="shared" si="313"/>
        <v>1.1209</v>
      </c>
      <c r="E186" s="277">
        <f t="shared" si="313"/>
        <v>1.3918999999999999</v>
      </c>
      <c r="F186" s="277">
        <f t="shared" si="313"/>
        <v>1.0018</v>
      </c>
      <c r="G186" s="277">
        <f t="shared" si="313"/>
        <v>1.1209</v>
      </c>
      <c r="H186" s="277">
        <f t="shared" ref="H186" si="314">ROUND((H184*$B$162/2*(0.25*$B$162+$E$160*0.5)+H185*0.5*$E$160*0.25*$E$160-H185*$E$159*$E$159*0.5)/$E$160,4)</f>
        <v>1.4219999999999999</v>
      </c>
      <c r="R186" s="263"/>
      <c r="Z186" s="263"/>
    </row>
    <row r="187" spans="1:26" ht="26.1" customHeight="1">
      <c r="A187" s="279" t="s">
        <v>290</v>
      </c>
      <c r="B187" s="277">
        <f>ROUND((B185*$B$162*0.5*($B$162*0.25+0.5*$E$160)+B184*$E$160*0.5*0.25*$E$160-B184*$E$159*$E$159*0.5)/$E$160,4)</f>
        <v>0.70379999999999998</v>
      </c>
      <c r="C187" s="277">
        <f t="shared" ref="C187:G187" si="315">ROUND((C185*$B$162*0.5*($B$162*0.25+0.5*$E$160)+C184*$E$160*0.5*0.25*$E$160-C184*$E$159*$E$159*0.5)/$E$160,4)</f>
        <v>0.89170000000000005</v>
      </c>
      <c r="D187" s="277">
        <f t="shared" si="315"/>
        <v>1.4952000000000001</v>
      </c>
      <c r="E187" s="277">
        <f t="shared" si="315"/>
        <v>1.8456999999999999</v>
      </c>
      <c r="F187" s="277">
        <f t="shared" si="315"/>
        <v>1.3011999999999999</v>
      </c>
      <c r="G187" s="277">
        <f t="shared" si="315"/>
        <v>1.4952000000000001</v>
      </c>
      <c r="H187" s="277">
        <f t="shared" ref="H187" si="316">ROUND((H185*$B$162*0.5*($B$162*0.25+0.5*$E$160)+H184*$E$160*0.5*0.25*$E$160-H184*$E$159*$E$159*0.5)/$E$160,4)</f>
        <v>1.7261</v>
      </c>
      <c r="R187" s="263"/>
      <c r="Z187" s="263"/>
    </row>
    <row r="188" spans="1:26" ht="26.1" customHeight="1">
      <c r="A188" s="277" t="s">
        <v>291</v>
      </c>
      <c r="B188" s="277">
        <f t="shared" ref="B188:G188" si="317">ROUND(B186*$E$161,4)</f>
        <v>1.2839</v>
      </c>
      <c r="C188" s="277">
        <f t="shared" si="317"/>
        <v>1.5876999999999999</v>
      </c>
      <c r="D188" s="277">
        <f t="shared" si="317"/>
        <v>2.5331999999999999</v>
      </c>
      <c r="E188" s="277">
        <f t="shared" si="317"/>
        <v>3.1457000000000002</v>
      </c>
      <c r="F188" s="277">
        <f t="shared" si="317"/>
        <v>2.2641</v>
      </c>
      <c r="G188" s="277">
        <f t="shared" si="317"/>
        <v>2.5331999999999999</v>
      </c>
      <c r="H188" s="277">
        <f t="shared" ref="H188" si="318">ROUND(H186*$E$161,4)</f>
        <v>3.2136999999999998</v>
      </c>
      <c r="R188" s="263"/>
      <c r="Z188" s="263"/>
    </row>
    <row r="189" spans="1:26" ht="26.1" customHeight="1">
      <c r="A189" s="277" t="s">
        <v>292</v>
      </c>
      <c r="B189" s="277">
        <f>ROUND(B187*$E$161,4)</f>
        <v>1.5906</v>
      </c>
      <c r="C189" s="277">
        <f t="shared" ref="C189:G189" si="319">ROUND(C187*$E$161,4)</f>
        <v>2.0152000000000001</v>
      </c>
      <c r="D189" s="277">
        <f t="shared" si="319"/>
        <v>3.3792</v>
      </c>
      <c r="E189" s="277">
        <f t="shared" si="319"/>
        <v>4.1712999999999996</v>
      </c>
      <c r="F189" s="277">
        <f t="shared" si="319"/>
        <v>2.9407000000000001</v>
      </c>
      <c r="G189" s="277">
        <f t="shared" si="319"/>
        <v>3.3792</v>
      </c>
      <c r="H189" s="277">
        <f t="shared" ref="H189" si="320">ROUND(H187*$E$161,4)</f>
        <v>3.9009999999999998</v>
      </c>
      <c r="R189" s="263"/>
      <c r="Z189" s="263"/>
    </row>
    <row r="190" spans="1:26" ht="26.1" customHeight="1">
      <c r="A190" s="277" t="s">
        <v>293</v>
      </c>
      <c r="B190" s="277">
        <f>ROUND(B188*1000000/$B$154,3)</f>
        <v>377.49599999999998</v>
      </c>
      <c r="C190" s="277">
        <f t="shared" ref="C190:G190" si="321">ROUND(C188*1000000/$B$154,3)</f>
        <v>466.82</v>
      </c>
      <c r="D190" s="277">
        <f t="shared" si="321"/>
        <v>744.81799999999998</v>
      </c>
      <c r="E190" s="277">
        <f t="shared" si="321"/>
        <v>924.90700000000004</v>
      </c>
      <c r="F190" s="277">
        <f t="shared" si="321"/>
        <v>665.69600000000003</v>
      </c>
      <c r="G190" s="277">
        <f t="shared" si="321"/>
        <v>744.81799999999998</v>
      </c>
      <c r="H190" s="277">
        <f t="shared" ref="H190" si="322">ROUND(H188*1000000/$B$154,3)</f>
        <v>944.9</v>
      </c>
      <c r="R190" s="263"/>
      <c r="Z190" s="263"/>
    </row>
    <row r="191" spans="1:26" ht="26.1" customHeight="1">
      <c r="A191" s="277" t="s">
        <v>294</v>
      </c>
      <c r="B191" s="277">
        <f>ROUND(B189*1000000/$B$154,3)</f>
        <v>467.67200000000003</v>
      </c>
      <c r="C191" s="277">
        <f t="shared" ref="C191:G191" si="323">ROUND(C189*1000000/$B$154,3)</f>
        <v>592.51400000000001</v>
      </c>
      <c r="D191" s="277">
        <f t="shared" si="323"/>
        <v>993.56100000000004</v>
      </c>
      <c r="E191" s="277">
        <f t="shared" si="323"/>
        <v>1226.4559999999999</v>
      </c>
      <c r="F191" s="277">
        <f t="shared" si="323"/>
        <v>864.63199999999995</v>
      </c>
      <c r="G191" s="277">
        <f t="shared" si="323"/>
        <v>993.56100000000004</v>
      </c>
      <c r="H191" s="277">
        <f t="shared" ref="H191" si="324">ROUND(H189*1000000/$B$154,3)</f>
        <v>1146.982</v>
      </c>
      <c r="R191" s="263"/>
      <c r="Z191" s="263"/>
    </row>
    <row r="192" spans="1:26" ht="26.1" customHeight="1">
      <c r="A192" s="277" t="s">
        <v>295</v>
      </c>
      <c r="B192" s="308">
        <f>MAX(B190:B191)/$B$153</f>
        <v>1.5086193548387099</v>
      </c>
      <c r="C192" s="308">
        <f t="shared" ref="C192:G192" si="325">MAX(C190:C191)/$B$153</f>
        <v>1.91133548387097</v>
      </c>
      <c r="D192" s="308">
        <f t="shared" si="325"/>
        <v>3.20503548387097</v>
      </c>
      <c r="E192" s="308">
        <f t="shared" si="325"/>
        <v>3.95630967741935</v>
      </c>
      <c r="F192" s="308">
        <f t="shared" si="325"/>
        <v>2.7891354838709699</v>
      </c>
      <c r="G192" s="308">
        <f t="shared" si="325"/>
        <v>3.20503548387097</v>
      </c>
      <c r="H192" s="308">
        <f t="shared" ref="H192" si="326">MAX(H190:H191)/$B$153</f>
        <v>3.6999419354838698</v>
      </c>
      <c r="R192" s="263"/>
      <c r="Z192" s="263"/>
    </row>
    <row r="193" spans="1:26" ht="26.1" customHeight="1">
      <c r="A193" s="310" t="s">
        <v>296</v>
      </c>
      <c r="R193" s="263"/>
      <c r="Z193" s="263"/>
    </row>
    <row r="194" spans="1:26" ht="26.1" customHeight="1">
      <c r="A194" s="267"/>
      <c r="C194" s="271"/>
      <c r="R194" s="263"/>
      <c r="Z194" s="263"/>
    </row>
    <row r="195" spans="1:26" ht="26.1" customHeight="1">
      <c r="A195" s="311" t="s">
        <v>281</v>
      </c>
      <c r="B195" s="277">
        <f>B96</f>
        <v>5</v>
      </c>
      <c r="C195" s="277">
        <f t="shared" ref="C195:G195" si="327">C96</f>
        <v>10</v>
      </c>
      <c r="D195" s="277">
        <f t="shared" si="327"/>
        <v>30</v>
      </c>
      <c r="E195" s="277">
        <f t="shared" si="327"/>
        <v>40</v>
      </c>
      <c r="F195" s="277">
        <f t="shared" si="327"/>
        <v>25</v>
      </c>
      <c r="G195" s="277">
        <f t="shared" si="327"/>
        <v>30</v>
      </c>
      <c r="H195" s="277">
        <f t="shared" ref="H195" si="328">H96</f>
        <v>60</v>
      </c>
      <c r="R195" s="263"/>
      <c r="Z195" s="263"/>
    </row>
    <row r="196" spans="1:26" ht="26.1" customHeight="1">
      <c r="A196" s="277" t="s">
        <v>190</v>
      </c>
      <c r="B196" s="277" t="str">
        <f>B97</f>
        <v>正常运行</v>
      </c>
      <c r="C196" s="277" t="str">
        <f t="shared" ref="C196:G196" si="329">C97</f>
        <v>停止保护</v>
      </c>
      <c r="D196" s="277" t="str">
        <f t="shared" si="329"/>
        <v>正常运行</v>
      </c>
      <c r="E196" s="277" t="str">
        <f t="shared" si="329"/>
        <v>正常运行</v>
      </c>
      <c r="F196" s="277" t="str">
        <f t="shared" si="329"/>
        <v>正常运行</v>
      </c>
      <c r="G196" s="277" t="str">
        <f t="shared" si="329"/>
        <v>正常运行</v>
      </c>
      <c r="H196" s="277" t="str">
        <f t="shared" ref="H196" si="330">H97</f>
        <v>正常运行</v>
      </c>
      <c r="R196" s="263"/>
      <c r="Z196" s="263"/>
    </row>
    <row r="197" spans="1:26" ht="26.1" customHeight="1">
      <c r="A197" s="276" t="s">
        <v>194</v>
      </c>
      <c r="B197" s="277">
        <f>B99</f>
        <v>0.20300000000000001</v>
      </c>
      <c r="C197" s="277">
        <f t="shared" ref="C197:G197" si="331">C99</f>
        <v>0.34200000000000003</v>
      </c>
      <c r="D197" s="277">
        <f t="shared" si="331"/>
        <v>0.20300000000000001</v>
      </c>
      <c r="E197" s="277">
        <f t="shared" si="331"/>
        <v>0.20300000000000001</v>
      </c>
      <c r="F197" s="277">
        <f t="shared" si="331"/>
        <v>0.20300000000000001</v>
      </c>
      <c r="G197" s="277">
        <f t="shared" si="331"/>
        <v>0.20300000000000001</v>
      </c>
      <c r="H197" s="277">
        <f t="shared" ref="H197" si="332">H99</f>
        <v>0.20300000000000001</v>
      </c>
      <c r="R197" s="263"/>
      <c r="Z197" s="263"/>
    </row>
    <row r="198" spans="1:26" ht="26.1" customHeight="1">
      <c r="A198" s="276" t="s">
        <v>195</v>
      </c>
      <c r="B198" s="277">
        <f>B100</f>
        <v>0.41</v>
      </c>
      <c r="C198" s="277">
        <f t="shared" ref="C198:G198" si="333">C100</f>
        <v>0.38</v>
      </c>
      <c r="D198" s="277">
        <f t="shared" si="333"/>
        <v>1.42</v>
      </c>
      <c r="E198" s="277">
        <f t="shared" si="333"/>
        <v>1.87</v>
      </c>
      <c r="F198" s="277">
        <f t="shared" si="333"/>
        <v>1.1599999999999999</v>
      </c>
      <c r="G198" s="277">
        <f t="shared" si="333"/>
        <v>1.42</v>
      </c>
      <c r="H198" s="277">
        <f t="shared" ref="H198" si="334">H100</f>
        <v>2</v>
      </c>
      <c r="R198" s="263"/>
      <c r="Z198" s="263"/>
    </row>
    <row r="199" spans="1:26" ht="26.1" customHeight="1">
      <c r="A199" s="276" t="s">
        <v>196</v>
      </c>
      <c r="B199" s="277">
        <f>B101</f>
        <v>0.12</v>
      </c>
      <c r="C199" s="277">
        <f t="shared" ref="C199:G199" si="335">C101</f>
        <v>0.14000000000000001</v>
      </c>
      <c r="D199" s="277">
        <f t="shared" si="335"/>
        <v>0.62</v>
      </c>
      <c r="E199" s="277">
        <f t="shared" si="335"/>
        <v>0.9</v>
      </c>
      <c r="F199" s="277">
        <f t="shared" si="335"/>
        <v>0.52</v>
      </c>
      <c r="G199" s="277">
        <f t="shared" si="335"/>
        <v>0.62</v>
      </c>
      <c r="H199" s="277">
        <f t="shared" ref="H199" si="336">H101</f>
        <v>1.22</v>
      </c>
      <c r="R199" s="263"/>
      <c r="Z199" s="263"/>
    </row>
    <row r="200" spans="1:26" ht="26.1" customHeight="1">
      <c r="A200" s="276" t="s">
        <v>198</v>
      </c>
      <c r="B200" s="277">
        <f>B174</f>
        <v>1.3</v>
      </c>
      <c r="C200" s="277">
        <f t="shared" ref="C200:G200" si="337">C174</f>
        <v>1.3</v>
      </c>
      <c r="D200" s="277">
        <f t="shared" si="337"/>
        <v>1.3</v>
      </c>
      <c r="E200" s="277">
        <f t="shared" si="337"/>
        <v>1.3</v>
      </c>
      <c r="F200" s="277">
        <f t="shared" si="337"/>
        <v>1.3</v>
      </c>
      <c r="G200" s="277">
        <f t="shared" si="337"/>
        <v>1.3</v>
      </c>
      <c r="H200" s="277">
        <f t="shared" ref="H200" si="338">H174</f>
        <v>1.3</v>
      </c>
      <c r="R200" s="263"/>
      <c r="Z200" s="263"/>
    </row>
    <row r="201" spans="1:26" ht="26.1" customHeight="1">
      <c r="A201" s="278" t="s">
        <v>204</v>
      </c>
      <c r="B201" s="277">
        <f t="shared" ref="B201:C201" si="339">B197*B198*B200</f>
        <v>0.108199</v>
      </c>
      <c r="C201" s="277">
        <f t="shared" si="339"/>
        <v>0.16894799999999999</v>
      </c>
      <c r="D201" s="277">
        <f t="shared" ref="D201:E201" si="340">D197*D198*D200</f>
        <v>0.37473800000000002</v>
      </c>
      <c r="E201" s="277">
        <f t="shared" si="340"/>
        <v>0.49349300000000001</v>
      </c>
      <c r="F201" s="277">
        <f t="shared" ref="F201:G201" si="341">F197*F198*F200</f>
        <v>0.30612400000000001</v>
      </c>
      <c r="G201" s="277">
        <f t="shared" si="341"/>
        <v>0.37473800000000002</v>
      </c>
      <c r="H201" s="277">
        <f t="shared" ref="H201" si="342">H197*H198*H200</f>
        <v>0.52780000000000005</v>
      </c>
      <c r="R201" s="263"/>
      <c r="Z201" s="263"/>
    </row>
    <row r="202" spans="1:26" ht="26.1" customHeight="1">
      <c r="A202" s="279" t="s">
        <v>205</v>
      </c>
      <c r="B202" s="277">
        <f>B197*B199*B200</f>
        <v>3.1668000000000002E-2</v>
      </c>
      <c r="C202" s="277">
        <f>C197*C199*C200</f>
        <v>6.2244000000000001E-2</v>
      </c>
      <c r="D202" s="277">
        <f t="shared" ref="D202:G202" si="343">D197*D199*D200</f>
        <v>0.16361800000000001</v>
      </c>
      <c r="E202" s="277">
        <f t="shared" si="343"/>
        <v>0.23751</v>
      </c>
      <c r="F202" s="277">
        <f t="shared" si="343"/>
        <v>0.13722799999999999</v>
      </c>
      <c r="G202" s="277">
        <f t="shared" si="343"/>
        <v>0.16361800000000001</v>
      </c>
      <c r="H202" s="277">
        <f t="shared" ref="H202" si="344">H197*H199*H200</f>
        <v>0.32195800000000002</v>
      </c>
      <c r="R202" s="263"/>
      <c r="Z202" s="263"/>
    </row>
    <row r="203" spans="1:26" ht="26.1" customHeight="1">
      <c r="A203" s="279" t="s">
        <v>206</v>
      </c>
      <c r="B203" s="277">
        <f>B106</f>
        <v>1.4</v>
      </c>
      <c r="C203" s="277">
        <f t="shared" ref="C203:G203" si="345">C106</f>
        <v>1.4</v>
      </c>
      <c r="D203" s="277">
        <f t="shared" si="345"/>
        <v>1.4</v>
      </c>
      <c r="E203" s="277">
        <f t="shared" si="345"/>
        <v>1.4</v>
      </c>
      <c r="F203" s="277">
        <f t="shared" si="345"/>
        <v>1.4</v>
      </c>
      <c r="G203" s="277">
        <f t="shared" si="345"/>
        <v>1.4</v>
      </c>
      <c r="H203" s="277">
        <f t="shared" ref="H203" si="346">H106</f>
        <v>1.4</v>
      </c>
      <c r="R203" s="263"/>
      <c r="Z203" s="263"/>
    </row>
    <row r="204" spans="1:26" ht="26.1" customHeight="1">
      <c r="A204" s="279" t="s">
        <v>207</v>
      </c>
      <c r="B204" s="277">
        <f>B107</f>
        <v>1</v>
      </c>
      <c r="C204" s="277">
        <f t="shared" ref="C204:G204" si="347">C107</f>
        <v>1</v>
      </c>
      <c r="D204" s="277">
        <f t="shared" si="347"/>
        <v>1</v>
      </c>
      <c r="E204" s="277">
        <f t="shared" si="347"/>
        <v>1</v>
      </c>
      <c r="F204" s="277">
        <f t="shared" si="347"/>
        <v>1</v>
      </c>
      <c r="G204" s="277">
        <f t="shared" si="347"/>
        <v>1</v>
      </c>
      <c r="H204" s="277">
        <f t="shared" ref="H204" si="348">H107</f>
        <v>1</v>
      </c>
      <c r="R204" s="263"/>
      <c r="Z204" s="263"/>
    </row>
    <row r="205" spans="1:26" ht="26.1" customHeight="1">
      <c r="A205" s="279" t="s">
        <v>282</v>
      </c>
      <c r="B205" s="277">
        <f>ROUND(B203*B201*$B$9/2,4)</f>
        <v>0.39219999999999999</v>
      </c>
      <c r="C205" s="277">
        <f t="shared" ref="C205:E205" si="349">ROUND(C203*C201*$B$9/2,4)</f>
        <v>0.61229999999999996</v>
      </c>
      <c r="D205" s="277">
        <f t="shared" si="349"/>
        <v>1.3582000000000001</v>
      </c>
      <c r="E205" s="277">
        <f t="shared" si="349"/>
        <v>1.7886</v>
      </c>
      <c r="F205" s="277">
        <f t="shared" ref="F205:G205" si="350">ROUND(F203*F201*$B$9/2,4)</f>
        <v>1.1094999999999999</v>
      </c>
      <c r="G205" s="277">
        <f t="shared" si="350"/>
        <v>1.3582000000000001</v>
      </c>
      <c r="H205" s="277">
        <f t="shared" ref="H205" si="351">ROUND(H203*H201*$B$9/2,4)</f>
        <v>1.913</v>
      </c>
      <c r="R205" s="263"/>
      <c r="Z205" s="263"/>
    </row>
    <row r="206" spans="1:26" ht="26.1" customHeight="1">
      <c r="A206" s="279" t="s">
        <v>283</v>
      </c>
      <c r="B206" s="277">
        <f>ROUND(B203*B202*$B$9/2,4)</f>
        <v>0.1148</v>
      </c>
      <c r="C206" s="277">
        <f t="shared" ref="C206:G206" si="352">ROUND(C203*C202*$B$9/2,4)</f>
        <v>0.22559999999999999</v>
      </c>
      <c r="D206" s="277">
        <f t="shared" si="352"/>
        <v>0.59299999999999997</v>
      </c>
      <c r="E206" s="277">
        <f t="shared" si="352"/>
        <v>0.86080000000000001</v>
      </c>
      <c r="F206" s="277">
        <f t="shared" si="352"/>
        <v>0.49740000000000001</v>
      </c>
      <c r="G206" s="277">
        <f t="shared" si="352"/>
        <v>0.59299999999999997</v>
      </c>
      <c r="H206" s="277">
        <f t="shared" ref="H206" si="353">ROUND(H203*H202*$B$9/2,4)</f>
        <v>1.1669</v>
      </c>
      <c r="R206" s="263"/>
      <c r="Z206" s="263"/>
    </row>
    <row r="207" spans="1:26" ht="26.1" customHeight="1">
      <c r="A207" s="279" t="s">
        <v>284</v>
      </c>
      <c r="B207" s="277">
        <f>ROUND(B205/(0.5*$B$162),4)</f>
        <v>0.1716</v>
      </c>
      <c r="C207" s="277">
        <f t="shared" ref="C207:G207" si="354">ROUND(C205/(0.5*$B$162),4)</f>
        <v>0.26800000000000002</v>
      </c>
      <c r="D207" s="277">
        <f t="shared" si="354"/>
        <v>0.59440000000000004</v>
      </c>
      <c r="E207" s="277">
        <f t="shared" si="354"/>
        <v>0.78280000000000005</v>
      </c>
      <c r="F207" s="277">
        <f t="shared" si="354"/>
        <v>0.48559999999999998</v>
      </c>
      <c r="G207" s="277">
        <f t="shared" si="354"/>
        <v>0.59440000000000004</v>
      </c>
      <c r="H207" s="277">
        <f t="shared" ref="H207" si="355">ROUND(H205/(0.5*$B$162),4)</f>
        <v>0.83720000000000006</v>
      </c>
      <c r="R207" s="263"/>
      <c r="Z207" s="263"/>
    </row>
    <row r="208" spans="1:26" ht="26.1" customHeight="1">
      <c r="A208" s="279" t="s">
        <v>285</v>
      </c>
      <c r="B208" s="277">
        <f>ROUND(B206/(0.5*$B$162),4)</f>
        <v>5.0200000000000002E-2</v>
      </c>
      <c r="C208" s="277">
        <f t="shared" ref="C208:G208" si="356">ROUND(C206/(0.5*$B$162),4)</f>
        <v>9.8699999999999996E-2</v>
      </c>
      <c r="D208" s="277">
        <f t="shared" si="356"/>
        <v>0.25950000000000001</v>
      </c>
      <c r="E208" s="277">
        <f t="shared" si="356"/>
        <v>0.37669999999999998</v>
      </c>
      <c r="F208" s="277">
        <f t="shared" si="356"/>
        <v>0.2177</v>
      </c>
      <c r="G208" s="277">
        <f t="shared" si="356"/>
        <v>0.25950000000000001</v>
      </c>
      <c r="H208" s="277">
        <f t="shared" ref="H208" si="357">ROUND(H206/(0.5*$B$162),4)</f>
        <v>0.51070000000000004</v>
      </c>
      <c r="R208" s="263"/>
      <c r="Z208" s="263"/>
    </row>
    <row r="209" spans="1:26" ht="26.1" customHeight="1">
      <c r="A209" s="279" t="s">
        <v>286</v>
      </c>
      <c r="B209" s="277">
        <f t="shared" ref="B209:G209" si="358">ROUND(B204*$B$6/100*COS(RADIANS(B195))/$B$162,4)</f>
        <v>0.13950000000000001</v>
      </c>
      <c r="C209" s="277">
        <f t="shared" si="358"/>
        <v>0.13789999999999999</v>
      </c>
      <c r="D209" s="277">
        <f t="shared" si="358"/>
        <v>0.12130000000000001</v>
      </c>
      <c r="E209" s="277">
        <f t="shared" si="358"/>
        <v>0.10730000000000001</v>
      </c>
      <c r="F209" s="277">
        <f t="shared" si="358"/>
        <v>0.12690000000000001</v>
      </c>
      <c r="G209" s="277">
        <f t="shared" si="358"/>
        <v>0.12130000000000001</v>
      </c>
      <c r="H209" s="277">
        <f t="shared" ref="H209" si="359">ROUND(H204*$B$6/100*COS(RADIANS(H195))/$B$162,4)</f>
        <v>7.0000000000000007E-2</v>
      </c>
      <c r="R209" s="263"/>
      <c r="Z209" s="263"/>
    </row>
    <row r="210" spans="1:26" ht="26.1" customHeight="1">
      <c r="A210" s="295" t="s">
        <v>297</v>
      </c>
      <c r="B210" s="296">
        <f>ABS(B207-B209)</f>
        <v>3.2099999999999997E-2</v>
      </c>
      <c r="C210" s="296">
        <f t="shared" ref="C210:G210" si="360">ABS(C207-C209)</f>
        <v>0.13009999999999999</v>
      </c>
      <c r="D210" s="296">
        <f t="shared" si="360"/>
        <v>0.47310000000000002</v>
      </c>
      <c r="E210" s="296">
        <f t="shared" si="360"/>
        <v>0.67549999999999999</v>
      </c>
      <c r="F210" s="296">
        <f t="shared" si="360"/>
        <v>0.35870000000000002</v>
      </c>
      <c r="G210" s="296">
        <f t="shared" si="360"/>
        <v>0.47310000000000002</v>
      </c>
      <c r="H210" s="296">
        <f t="shared" ref="H210" si="361">ABS(H207-H209)</f>
        <v>0.76719999999999999</v>
      </c>
      <c r="R210" s="263"/>
      <c r="Z210" s="263"/>
    </row>
    <row r="211" spans="1:26" ht="26.1" customHeight="1">
      <c r="A211" s="296" t="s">
        <v>298</v>
      </c>
      <c r="B211" s="296">
        <f>ABS(B208-B209)</f>
        <v>8.9300000000000004E-2</v>
      </c>
      <c r="C211" s="296">
        <f t="shared" ref="C211:G211" si="362">ABS(C208-C209)</f>
        <v>3.9199999999999999E-2</v>
      </c>
      <c r="D211" s="296">
        <f t="shared" si="362"/>
        <v>0.13819999999999999</v>
      </c>
      <c r="E211" s="296">
        <f t="shared" si="362"/>
        <v>0.26939999999999997</v>
      </c>
      <c r="F211" s="296">
        <f t="shared" si="362"/>
        <v>9.0800000000000006E-2</v>
      </c>
      <c r="G211" s="296">
        <f t="shared" si="362"/>
        <v>0.13819999999999999</v>
      </c>
      <c r="H211" s="296">
        <f t="shared" ref="H211" si="363">ABS(H208-H209)</f>
        <v>0.44069999999999998</v>
      </c>
      <c r="R211" s="263"/>
      <c r="Z211" s="263"/>
    </row>
    <row r="212" spans="1:26" ht="26.1" customHeight="1">
      <c r="A212" s="279" t="s">
        <v>289</v>
      </c>
      <c r="B212" s="277">
        <f>ROUND((B210*$B$162/2*(0.25*$B$162+$E$160*0.5)+B211*0.5*$E$160*0.25*$E$160-B211*$E$159*$E$159*0.5)/$E$160,4)</f>
        <v>0.1067</v>
      </c>
      <c r="C212" s="277">
        <f t="shared" ref="C212:G212" si="364">ROUND((C210*$B$162/2*(0.25*$B$162+$E$160*0.5)+C211*0.5*$E$160*0.25*$E$160-C211*$E$159*$E$159*0.5)/$E$160,4)</f>
        <v>0.2442</v>
      </c>
      <c r="D212" s="277">
        <f t="shared" si="364"/>
        <v>0.88549999999999995</v>
      </c>
      <c r="E212" s="277">
        <f t="shared" si="364"/>
        <v>1.3065</v>
      </c>
      <c r="F212" s="277">
        <f t="shared" si="364"/>
        <v>0.6633</v>
      </c>
      <c r="G212" s="277">
        <f t="shared" si="364"/>
        <v>0.88549999999999995</v>
      </c>
      <c r="H212" s="277">
        <f t="shared" ref="H212" si="365">ROUND((H210*$B$162/2*(0.25*$B$162+$E$160*0.5)+H211*0.5*$E$160*0.25*$E$160-H211*$E$159*$E$159*0.5)/$E$160,4)</f>
        <v>1.5625</v>
      </c>
      <c r="R212" s="263"/>
      <c r="Z212" s="263"/>
    </row>
    <row r="213" spans="1:26" ht="26.1" customHeight="1">
      <c r="A213" s="279" t="s">
        <v>290</v>
      </c>
      <c r="B213" s="277">
        <f>ROUND((B211*$B$162*0.5*($B$162*0.25+0.5*$E$160)+B210*$E$160*0.5*0.25*$E$160-B210*$E$159*$E$159*0.5)/$E$160,4)</f>
        <v>0.17069999999999999</v>
      </c>
      <c r="C213" s="277">
        <f t="shared" ref="C213:G213" si="366">ROUND((C211*$B$162*0.5*($B$162*0.25+0.5*$E$160)+C210*$E$160*0.5*0.25*$E$160-C210*$E$159*$E$159*0.5)/$E$160,4)</f>
        <v>0.1426</v>
      </c>
      <c r="D213" s="277">
        <f t="shared" si="366"/>
        <v>0.51129999999999998</v>
      </c>
      <c r="E213" s="277">
        <f t="shared" si="366"/>
        <v>0.85260000000000002</v>
      </c>
      <c r="F213" s="277">
        <f t="shared" si="366"/>
        <v>0.3639</v>
      </c>
      <c r="G213" s="277">
        <f t="shared" si="366"/>
        <v>0.51129999999999998</v>
      </c>
      <c r="H213" s="277">
        <f t="shared" ref="H213" si="367">ROUND((H211*$B$162*0.5*($B$162*0.25+0.5*$E$160)+H210*$E$160*0.5*0.25*$E$160-H210*$E$159*$E$159*0.5)/$E$160,4)</f>
        <v>1.1976</v>
      </c>
      <c r="R213" s="263"/>
      <c r="Z213" s="263"/>
    </row>
    <row r="214" spans="1:26" ht="26.1" customHeight="1">
      <c r="A214" s="277" t="s">
        <v>291</v>
      </c>
      <c r="B214" s="277">
        <f t="shared" ref="B214:G214" si="368">ROUND(B212*$E$161,4)</f>
        <v>0.24110000000000001</v>
      </c>
      <c r="C214" s="277">
        <f t="shared" si="368"/>
        <v>0.55189999999999995</v>
      </c>
      <c r="D214" s="277">
        <f t="shared" si="368"/>
        <v>2.0011999999999999</v>
      </c>
      <c r="E214" s="277">
        <f t="shared" si="368"/>
        <v>2.9527000000000001</v>
      </c>
      <c r="F214" s="277">
        <f t="shared" si="368"/>
        <v>1.4991000000000001</v>
      </c>
      <c r="G214" s="277">
        <f t="shared" si="368"/>
        <v>2.0011999999999999</v>
      </c>
      <c r="H214" s="277">
        <f t="shared" ref="H214" si="369">ROUND(H212*$E$161,4)</f>
        <v>3.5312999999999999</v>
      </c>
      <c r="R214" s="263"/>
      <c r="Z214" s="263"/>
    </row>
    <row r="215" spans="1:26" ht="26.1" customHeight="1">
      <c r="A215" s="277" t="s">
        <v>292</v>
      </c>
      <c r="B215" s="277">
        <f>ROUND(B213*$E$161,4)</f>
        <v>0.38579999999999998</v>
      </c>
      <c r="C215" s="277">
        <f t="shared" ref="C215:G215" si="370">ROUND(C213*$E$161,4)</f>
        <v>0.32229999999999998</v>
      </c>
      <c r="D215" s="277">
        <f t="shared" si="370"/>
        <v>1.1555</v>
      </c>
      <c r="E215" s="277">
        <f t="shared" si="370"/>
        <v>1.9269000000000001</v>
      </c>
      <c r="F215" s="277">
        <f t="shared" si="370"/>
        <v>0.82240000000000002</v>
      </c>
      <c r="G215" s="277">
        <f t="shared" si="370"/>
        <v>1.1555</v>
      </c>
      <c r="H215" s="277">
        <f t="shared" ref="H215" si="371">ROUND(H213*$E$161,4)</f>
        <v>2.7065999999999999</v>
      </c>
      <c r="R215" s="263"/>
      <c r="Z215" s="263"/>
    </row>
    <row r="216" spans="1:26" ht="26.1" customHeight="1">
      <c r="A216" s="277" t="s">
        <v>293</v>
      </c>
      <c r="B216" s="277">
        <f>ROUND(B214*1000000/$B$154,3)</f>
        <v>70.888999999999996</v>
      </c>
      <c r="C216" s="277">
        <f t="shared" ref="C216:G216" si="372">ROUND(C214*1000000/$B$154,3)</f>
        <v>162.27099999999999</v>
      </c>
      <c r="D216" s="277">
        <f t="shared" si="372"/>
        <v>588.39800000000002</v>
      </c>
      <c r="E216" s="277">
        <f t="shared" si="372"/>
        <v>868.16</v>
      </c>
      <c r="F216" s="277">
        <f t="shared" si="372"/>
        <v>440.76900000000001</v>
      </c>
      <c r="G216" s="277">
        <f t="shared" si="372"/>
        <v>588.39800000000002</v>
      </c>
      <c r="H216" s="277">
        <f t="shared" ref="H216" si="373">ROUND(H214*1000000/$B$154,3)</f>
        <v>1038.2819999999999</v>
      </c>
      <c r="R216" s="263"/>
      <c r="Z216" s="263"/>
    </row>
    <row r="217" spans="1:26" ht="26.1" customHeight="1">
      <c r="A217" s="277" t="s">
        <v>294</v>
      </c>
      <c r="B217" s="277">
        <f>ROUND(B215*1000000/$B$154,3)</f>
        <v>113.434</v>
      </c>
      <c r="C217" s="277">
        <f t="shared" ref="C217:G217" si="374">ROUND(C215*1000000/$B$154,3)</f>
        <v>94.763000000000005</v>
      </c>
      <c r="D217" s="277">
        <f t="shared" si="374"/>
        <v>339.74299999999999</v>
      </c>
      <c r="E217" s="277">
        <f t="shared" si="374"/>
        <v>566.55200000000002</v>
      </c>
      <c r="F217" s="277">
        <f t="shared" si="374"/>
        <v>241.804</v>
      </c>
      <c r="G217" s="277">
        <f t="shared" si="374"/>
        <v>339.74299999999999</v>
      </c>
      <c r="H217" s="277">
        <f t="shared" ref="H217" si="375">ROUND(H215*1000000/$B$154,3)</f>
        <v>795.80100000000004</v>
      </c>
      <c r="R217" s="263"/>
      <c r="Z217" s="263"/>
    </row>
    <row r="218" spans="1:26" ht="26.1" customHeight="1">
      <c r="A218" s="277" t="s">
        <v>295</v>
      </c>
      <c r="B218" s="308">
        <f>MAX(B216:B217)/$B$153</f>
        <v>0.36591612903225801</v>
      </c>
      <c r="C218" s="308">
        <f t="shared" ref="C218:G218" si="376">MAX(C216:C217)/$B$153</f>
        <v>0.52345483870967702</v>
      </c>
      <c r="D218" s="308">
        <f t="shared" si="376"/>
        <v>1.89805806451613</v>
      </c>
      <c r="E218" s="308">
        <f t="shared" si="376"/>
        <v>2.80051612903226</v>
      </c>
      <c r="F218" s="308">
        <f t="shared" si="376"/>
        <v>1.4218354838709699</v>
      </c>
      <c r="G218" s="308">
        <f t="shared" si="376"/>
        <v>1.89805806451613</v>
      </c>
      <c r="H218" s="308">
        <f t="shared" ref="H218" si="377">MAX(H216:H217)/$B$153</f>
        <v>3.34929677419355</v>
      </c>
      <c r="R218" s="263"/>
      <c r="Z218" s="263"/>
    </row>
    <row r="219" spans="1:26" ht="26.1" customHeight="1">
      <c r="B219" s="290"/>
      <c r="C219" s="290"/>
      <c r="D219" s="290"/>
      <c r="E219" s="290"/>
      <c r="F219" s="290"/>
      <c r="G219" s="290"/>
      <c r="R219" s="263"/>
      <c r="Z219" s="263"/>
    </row>
    <row r="220" spans="1:26" ht="26.1" customHeight="1">
      <c r="A220" s="310" t="s">
        <v>299</v>
      </c>
      <c r="R220" s="263"/>
      <c r="Z220" s="263"/>
    </row>
    <row r="221" spans="1:26" ht="26.1" customHeight="1">
      <c r="A221" s="310" t="s">
        <v>300</v>
      </c>
      <c r="B221" s="312" t="s">
        <v>301</v>
      </c>
      <c r="G221" s="312" t="s">
        <v>302</v>
      </c>
      <c r="R221" s="263"/>
      <c r="Z221" s="263"/>
    </row>
    <row r="222" spans="1:26" ht="26.1" customHeight="1">
      <c r="A222" s="267" t="s">
        <v>103</v>
      </c>
      <c r="B222" s="268" t="s">
        <v>110</v>
      </c>
      <c r="E222" s="392" t="s">
        <v>103</v>
      </c>
      <c r="F222" s="392"/>
      <c r="G222" s="268" t="s">
        <v>110</v>
      </c>
      <c r="R222" s="263"/>
      <c r="Z222" s="263"/>
    </row>
    <row r="223" spans="1:26" ht="26.1" customHeight="1">
      <c r="A223" s="267" t="s">
        <v>303</v>
      </c>
      <c r="B223" s="268" t="s">
        <v>304</v>
      </c>
      <c r="C223" s="271"/>
      <c r="E223" s="392" t="s">
        <v>305</v>
      </c>
      <c r="F223" s="392"/>
      <c r="G223" s="393" t="s">
        <v>306</v>
      </c>
      <c r="H223" s="393"/>
      <c r="R223" s="263"/>
      <c r="Z223" s="263"/>
    </row>
    <row r="224" spans="1:26" ht="26.1" customHeight="1">
      <c r="A224" s="267" t="s">
        <v>307</v>
      </c>
      <c r="B224" s="272" t="str">
        <f>IF(B222="钢管",VLOOKUP(B223,$J$5:$U$12,2,FALSE),IF(B222="方管",VLOOKUP(B223,$AA$5:$AP$12,2,FALSE),IF(B222="H型钢",VLOOKUP(B223,$J$17:$U$26,2,FALSE),IF(B222="多棱管",VLOOKUP(B223,$J$30:$U$31,2,FALSE),IF(B222="自定义",VLOOKUP(B223,$AA$17:$AI$26,2,FALSE),IF(B222="几型钢",VLOOKUP(B223,AA30:AP31,2,FALSE)))))))</f>
        <v>Q355B</v>
      </c>
      <c r="E224" s="392" t="s">
        <v>307</v>
      </c>
      <c r="F224" s="392"/>
      <c r="G224" s="272" t="str">
        <f>IF(G222="钢管",VLOOKUP(G223,$J$5:$U$12,2,FALSE),IF(G222="方管",VLOOKUP(G223,$AA$5:$AP$12,2,FALSE),IF(G222="H型钢",VLOOKUP(G223,$J$17:$U$26,2,FALSE),IF(G222="多棱管",VLOOKUP(G223,$J$30:$U$31,2,FALSE),IF(G222="自定义",VLOOKUP(G223,$AA$17:$AI$26,2,FALSE),IF(G222="几型钢",VLOOKUP(G223,AF30:AU31,2,FALSE)))))))</f>
        <v>Q355B</v>
      </c>
      <c r="R224" s="263"/>
      <c r="Z224" s="263"/>
    </row>
    <row r="225" spans="1:26" ht="26.1" customHeight="1">
      <c r="A225" s="267" t="s">
        <v>108</v>
      </c>
      <c r="B225" s="272">
        <f>IF(B224="Q355B",310,IF(B224="Q235B",210,IF(B224="Q420B",380)))</f>
        <v>310</v>
      </c>
      <c r="C225" s="271" t="s">
        <v>109</v>
      </c>
      <c r="E225" s="392" t="s">
        <v>108</v>
      </c>
      <c r="F225" s="392"/>
      <c r="G225" s="272">
        <f>IF(G224="Q355B",310,IF(G224="Q235B",210,IF(G224="Q420B",380)))</f>
        <v>310</v>
      </c>
      <c r="H225" s="271" t="s">
        <v>109</v>
      </c>
      <c r="R225" s="263"/>
      <c r="Z225" s="263"/>
    </row>
    <row r="226" spans="1:26" ht="26.1" customHeight="1">
      <c r="A226" s="267" t="s">
        <v>308</v>
      </c>
      <c r="B226" s="272">
        <f>IF(B222="钢管",VLOOKUP(B223,$J$5:$U$12,11,FALSE),IF(B222="方管",VLOOKUP(B223,$AA$5:$AP$12,15,FALSE),IF(B222="H型钢",VLOOKUP(B223,$J$17:$U$26,11,FALSE),IF(B222="多棱管",VLOOKUP(B223,$J$30:$U$31,11,FALSE),IF(B222="自定义",VLOOKUP(B223,$AA$17:$AI$26,6,FALSE),IF(B222="几型钢",VLOOKUP(B223,AA30:AP31,15,FALSE)))))))</f>
        <v>123108.92</v>
      </c>
      <c r="C226" s="271" t="s">
        <v>115</v>
      </c>
      <c r="E226" s="392" t="s">
        <v>308</v>
      </c>
      <c r="F226" s="392"/>
      <c r="G226" s="272">
        <f>IF(G222="钢管",VLOOKUP(G223,$J$5:$U$12,11,FALSE),IF(G222="方管",VLOOKUP(G223,$AA$5:$AP$12,15,FALSE),IF(G222="H型钢",VLOOKUP(G223,$J$17:$U$26,11,FALSE),IF(G222="多棱管",VLOOKUP(G223,$J$30:$U$31,11,FALSE),IF(G222="自定义",VLOOKUP(G223,$AA$17:$AI$26,6,FALSE),IF(G222="几型钢",VLOOKUP(G223,AF30:AU31,15,FALSE)))))))</f>
        <v>89429.18</v>
      </c>
      <c r="H226" s="271" t="s">
        <v>115</v>
      </c>
      <c r="J226" s="290"/>
      <c r="R226" s="263"/>
      <c r="Z226" s="263"/>
    </row>
    <row r="227" spans="1:26" ht="26.1" customHeight="1">
      <c r="A227" s="267" t="s">
        <v>309</v>
      </c>
      <c r="B227" s="272">
        <f>IF(B222="钢管",VLOOKUP(B223,$J$5:$U$12,12,FALSE),IF(B222="方管",VLOOKUP(B223,$AA$5:$AP$12,16,FALSE),IF(B222="H型钢",VLOOKUP(B223,$J$17:$U$26,12,FALSE),IF(B222="多棱管",VLOOKUP(B223,$J$30:$U$31,12,FALSE),IF(B222="自定义",VLOOKUP(B223,$AA$17:$AI$26,7,FALSE),IF(B222="几型钢",VLOOKUP(B223,AA30:AP31,16,FALSE)))))))</f>
        <v>17358.46</v>
      </c>
      <c r="C227" s="271" t="s">
        <v>115</v>
      </c>
      <c r="E227" s="267"/>
      <c r="F227" s="267" t="s">
        <v>309</v>
      </c>
      <c r="G227" s="272">
        <f>IF(G222="钢管",VLOOKUP(G223,$J$5:$U$12,12,FALSE),IF(G222="方管",VLOOKUP(G223,$AA$5:$AP$12,16,FALSE),IF(G222="H型钢",VLOOKUP(G223,$J$17:$U$26,12,FALSE),IF(G222="多棱管",VLOOKUP(G223,$J$30:$U$31,12,FALSE),IF(G222="自定义",VLOOKUP(G223,$AA$17:$AI$26,7,FALSE),IF(G222="几型钢",VLOOKUP(G223,AF30:AU31,16,FALSE)))))))</f>
        <v>18351.75</v>
      </c>
      <c r="H227" s="271" t="s">
        <v>115</v>
      </c>
      <c r="J227" s="290"/>
      <c r="M227"/>
      <c r="R227" s="263"/>
      <c r="Z227" s="263"/>
    </row>
    <row r="228" spans="1:26" ht="26.1" customHeight="1">
      <c r="A228" s="267" t="s">
        <v>310</v>
      </c>
      <c r="B228" s="272">
        <f>IF(B222="钢管",VLOOKUP(B223,$J$5:$U$12,9,FALSE),IF(B222="方管",VLOOKUP(B223,$AA$5:$AP$12,12,FALSE),IF(B222="H型钢",VLOOKUP(B223,$J$17:$U$26,9,FALSE),IF(B222="多棱管",VLOOKUP(B223,$J$30:$U$31,9,FALSE),IF(B222="自定义",VLOOKUP(B223,$AA$17:$AI$26,4,FALSE),IF(B222="几型钢",VLOOKUP(B223,AA30:AP31,13,FALSE)))))))</f>
        <v>12310891.8570667</v>
      </c>
      <c r="C228" s="271" t="s">
        <v>151</v>
      </c>
      <c r="E228" s="392" t="s">
        <v>310</v>
      </c>
      <c r="F228" s="392"/>
      <c r="G228" s="272">
        <f>IF(G222="钢管",VLOOKUP(G223,$J$5:$U$12,9,FALSE),IF(G222="方管",VLOOKUP(G223,$AA$5:$AP$12,12,FALSE),IF(G222="H型钢",VLOOKUP(G223,$J$17:$U$26,9,FALSE),IF(G222="多棱管",VLOOKUP(G223,$J$30:$U$31,9,FALSE),IF(G222="自定义",VLOOKUP(G223,$AA$17:$AI$26,4,FALSE),IF(G222="几型钢",VLOOKUP(G223,AF30:AU31,13,FALSE)))))))</f>
        <v>6707188.4749999996</v>
      </c>
      <c r="H228" s="271" t="s">
        <v>151</v>
      </c>
      <c r="J228" s="290"/>
      <c r="R228" s="263"/>
      <c r="Z228" s="263"/>
    </row>
    <row r="229" spans="1:26" ht="26.1" customHeight="1">
      <c r="A229" s="267" t="s">
        <v>311</v>
      </c>
      <c r="B229" s="272">
        <f>IF(B222="钢管",VLOOKUP(B223,$J$5:$U$12,10,FALSE),IF(B222="方管",VLOOKUP(B223,$AA$5:$AP$12,14,FALSE),IF(B222="H型钢",VLOOKUP(B223,$J$17:$U$26,10,FALSE),IF(B222="多棱管",VLOOKUP(B223,$J$30:$U$31,10,FALSE),IF(B222="自定义",VLOOKUP(B223,$AA$17:$AI$26,5,FALSE),IF(B222="几型钢",VLOOKUP(B223,AA30:AP31,14,FALSE)))))))</f>
        <v>867922.87726666406</v>
      </c>
      <c r="C229" s="271" t="s">
        <v>151</v>
      </c>
      <c r="E229" s="392" t="s">
        <v>311</v>
      </c>
      <c r="F229" s="392"/>
      <c r="G229" s="272">
        <f>IF(G222="钢管",VLOOKUP(G223,$J$5:$U$12,10,FALSE),IF(G222="方管",VLOOKUP(G223,$AA$5:$AP$12,14,FALSE),IF(G222="H型钢",VLOOKUP(G223,$J$17:$U$26,10,FALSE),IF(G222="多棱管",VLOOKUP(G223,$J$30:$U$31,10,FALSE),IF(G222="自定义",VLOOKUP(G223,$AA$17:$AI$26,5,FALSE),IF(G222="几型钢",VLOOKUP(G223,AF30:AU31,14,FALSE)))))))</f>
        <v>917587.62274999905</v>
      </c>
      <c r="H229" s="271" t="s">
        <v>151</v>
      </c>
      <c r="I229"/>
      <c r="J229" s="290"/>
      <c r="R229" s="263"/>
      <c r="Z229" s="263"/>
    </row>
    <row r="230" spans="1:26" ht="26.1" customHeight="1">
      <c r="A230" s="267" t="s">
        <v>153</v>
      </c>
      <c r="B230" s="293">
        <v>206000</v>
      </c>
      <c r="C230" s="271" t="s">
        <v>109</v>
      </c>
      <c r="E230" s="392" t="s">
        <v>153</v>
      </c>
      <c r="F230" s="392"/>
      <c r="G230" s="293">
        <v>206000</v>
      </c>
      <c r="H230" s="271" t="s">
        <v>109</v>
      </c>
      <c r="J230"/>
      <c r="R230" s="263"/>
      <c r="Z230" s="263"/>
    </row>
    <row r="231" spans="1:26" ht="26.1" customHeight="1">
      <c r="A231" s="267" t="s">
        <v>312</v>
      </c>
      <c r="B231" s="272">
        <f>IF(B222="钢管",VLOOKUP(B223,$J$5:$U$12,8,FALSE),IF(B222="方管",VLOOKUP(B223,$AA$5:$AP$12,12,FALSE),IF(B222="H型钢",VLOOKUP(B223,$J$17:$U$26,8,FALSE),IF(B222="多棱管",VLOOKUP(B223,$J$30:$U$31,8,FALSE),IF(B222="自定义",VLOOKUP(B223,$AA$17:$AI$26,3,FALSE),IF(B222="几型钢",VLOOKUP(B223,AA30:AP31,12,FALSE)))))))</f>
        <v>1855.28</v>
      </c>
      <c r="C231" s="271" t="s">
        <v>313</v>
      </c>
      <c r="E231" s="392" t="s">
        <v>312</v>
      </c>
      <c r="F231" s="392"/>
      <c r="G231" s="272">
        <f>IF(G222="钢管",VLOOKUP(G223,$J$5:$U$12,8,FALSE),IF(G222="方管",VLOOKUP(G223,$AA$5:$AP$12,12,FALSE),IF(G222="H型钢",VLOOKUP(G223,$J$17:$U$26,8,FALSE),IF(G222="多棱管",VLOOKUP(G223,$J$30:$U$31,8,FALSE),IF(G222="自定义",VLOOKUP(G223,$AA$17:$AI$26,3,FALSE),IF(G222="几型钢",VLOOKUP(G223,AF30:AU31,12,FALSE)))))))</f>
        <v>1697.7</v>
      </c>
      <c r="H231" s="271" t="s">
        <v>313</v>
      </c>
      <c r="R231" s="263"/>
      <c r="Z231" s="263"/>
    </row>
    <row r="232" spans="1:26" ht="26.1" customHeight="1">
      <c r="A232" s="267" t="s">
        <v>314</v>
      </c>
      <c r="B232" s="272">
        <f>(IF(B222="钢管",VLOOKUP(B223,$J$5:$U$12,7,FALSE),IF(B222="方管",VLOOKUP(B223,$AA$5:$AP$12,11,FALSE),IF(B222="H型钢",VLOOKUP(B223,$J$17:$U$26,7,FALSE),IF(B222="多棱管",VLOOKUP(B223,$J$30:$U$31,7,FALSE),IF(B222="自定义",VLOOKUP(B223,$AA$17:$AI$26,9,FALSE),IF(B222="几型钢",VLOOKUP(B223,AA30:AP31,11,FALSE)))))))*B144)</f>
        <v>0.49049999999999999</v>
      </c>
      <c r="C232" s="271" t="s">
        <v>315</v>
      </c>
      <c r="E232" s="392" t="s">
        <v>314</v>
      </c>
      <c r="F232" s="392"/>
      <c r="G232" s="272">
        <f>(IF(G222="钢管",VLOOKUP(G223,$J$5:$U$12,7,FALSE),IF(G222="方管",VLOOKUP(G223,$AA$5:$AP$12,11,FALSE),IF(G222="H型钢",VLOOKUP(G223,$J$17:$U$26,7,FALSE),IF(G222="多棱管",VLOOKUP(G223,$J$30:$U$31,7,FALSE),IF(G222="自定义",VLOOKUP(G223,$AA$17:$AI$26,9,FALSE),IF(G222="几型钢",VLOOKUP(G223,AF30:AU31,11,FALSE)))))))*G144)</f>
        <v>0.77610000000000001</v>
      </c>
      <c r="H232" s="271" t="s">
        <v>315</v>
      </c>
      <c r="N232"/>
      <c r="R232" s="263"/>
      <c r="Z232" s="263"/>
    </row>
    <row r="233" spans="1:26" ht="26.1" customHeight="1">
      <c r="A233" s="267" t="s">
        <v>316</v>
      </c>
      <c r="B233" s="268">
        <v>2.2999999999999998</v>
      </c>
      <c r="C233" s="271" t="s">
        <v>36</v>
      </c>
      <c r="E233" s="392" t="s">
        <v>316</v>
      </c>
      <c r="F233" s="392"/>
      <c r="G233" s="272">
        <f>B233</f>
        <v>2.2999999999999998</v>
      </c>
      <c r="H233" s="271" t="s">
        <v>36</v>
      </c>
      <c r="R233" s="263"/>
      <c r="Z233" s="263"/>
    </row>
    <row r="234" spans="1:26" ht="26.1" customHeight="1">
      <c r="A234" s="267" t="s">
        <v>317</v>
      </c>
      <c r="B234" s="272">
        <f>IF(B222="钢管",VLOOKUP(B223,$J$5:$V$12,13,FALSE),IF(B222="方管",VLOOKUP(B223,$AA$5:$AV$12,22,FALSE),IF(B222="H型钢",VLOOKUP(B223,$J$17:$V$24,13,FALSE),IF(B222="多棱管",VLOOKUP(B223,$J$30:$U$31,11,FALSE),IF(B222="自定义",VLOOKUP(B223,$AA$17:$AI$26,6,FALSE),IF(B222="几型钢",VLOOKUP(B223,AA30:AP31,15,FALSE)))))))</f>
        <v>0.23</v>
      </c>
      <c r="C234" s="271" t="s">
        <v>100</v>
      </c>
      <c r="E234" s="392" t="s">
        <v>317</v>
      </c>
      <c r="F234" s="392"/>
      <c r="G234" s="272">
        <f>IF(G222="钢管",VLOOKUP(G223,$J$5:$V$12,13,FALSE),IF(G222="方管",VLOOKUP(G223,$AA$5:$AV$12,22,FALSE),IF(G222="H型钢",VLOOKUP(G223,$J$17:$V$24,13,FALSE),IF(G222="多棱管",VLOOKUP(G223,$J$30:$U$31,11,FALSE),IF(G222="自定义",VLOOKUP(G223,$AA$17:$AI$26,6,FALSE),IF(G222="几型钢",VLOOKUP(G223,AF30:AU31,15,FALSE)))))))</f>
        <v>0.23</v>
      </c>
      <c r="H234" s="271" t="s">
        <v>100</v>
      </c>
      <c r="R234" s="263"/>
      <c r="Z234" s="263"/>
    </row>
    <row r="235" spans="1:26" ht="26.1" customHeight="1">
      <c r="A235" s="267" t="s">
        <v>318</v>
      </c>
      <c r="B235" s="270">
        <v>8</v>
      </c>
      <c r="C235" s="271"/>
      <c r="E235" s="394" t="s">
        <v>318</v>
      </c>
      <c r="F235" s="394"/>
      <c r="G235" s="272">
        <f>B235</f>
        <v>8</v>
      </c>
      <c r="H235" s="271"/>
      <c r="R235" s="263"/>
      <c r="Z235" s="263"/>
    </row>
    <row r="236" spans="1:26" ht="26.1" customHeight="1">
      <c r="A236" s="275" t="s">
        <v>189</v>
      </c>
      <c r="B236" s="277">
        <f>B34</f>
        <v>5</v>
      </c>
      <c r="C236" s="277">
        <f t="shared" ref="C236:G236" si="378">C34</f>
        <v>10</v>
      </c>
      <c r="D236" s="277">
        <f t="shared" si="378"/>
        <v>30</v>
      </c>
      <c r="E236" s="277">
        <f t="shared" si="378"/>
        <v>40</v>
      </c>
      <c r="F236" s="277">
        <f t="shared" si="378"/>
        <v>25</v>
      </c>
      <c r="G236" s="277">
        <f t="shared" si="378"/>
        <v>30</v>
      </c>
      <c r="H236" s="277">
        <f t="shared" ref="H236:H237" si="379">H34</f>
        <v>60</v>
      </c>
      <c r="R236" s="263"/>
      <c r="Z236" s="263"/>
    </row>
    <row r="237" spans="1:26" ht="26.1" customHeight="1">
      <c r="A237" s="276" t="s">
        <v>190</v>
      </c>
      <c r="B237" s="277" t="str">
        <f>B35</f>
        <v>正常运行</v>
      </c>
      <c r="C237" s="277" t="str">
        <f t="shared" ref="C237:G237" si="380">C35</f>
        <v>停止保护</v>
      </c>
      <c r="D237" s="277" t="str">
        <f t="shared" si="380"/>
        <v>正常运行</v>
      </c>
      <c r="E237" s="277" t="str">
        <f t="shared" si="380"/>
        <v>正常运行</v>
      </c>
      <c r="F237" s="277" t="str">
        <f t="shared" si="380"/>
        <v>正常运行</v>
      </c>
      <c r="G237" s="277" t="str">
        <f t="shared" si="380"/>
        <v>正常运行</v>
      </c>
      <c r="H237" s="277" t="str">
        <f t="shared" si="379"/>
        <v>正常运行</v>
      </c>
      <c r="R237" s="263"/>
      <c r="Z237" s="263"/>
    </row>
    <row r="238" spans="1:26" ht="26.1" customHeight="1">
      <c r="A238" s="276" t="s">
        <v>193</v>
      </c>
      <c r="B238" s="277">
        <f>B36</f>
        <v>18</v>
      </c>
      <c r="C238" s="277">
        <f t="shared" ref="C238:G238" si="381">C36</f>
        <v>23.4</v>
      </c>
      <c r="D238" s="277">
        <f t="shared" si="381"/>
        <v>18</v>
      </c>
      <c r="E238" s="277">
        <f t="shared" si="381"/>
        <v>18</v>
      </c>
      <c r="F238" s="277">
        <f t="shared" si="381"/>
        <v>18</v>
      </c>
      <c r="G238" s="277">
        <f t="shared" si="381"/>
        <v>18</v>
      </c>
      <c r="H238" s="277">
        <f t="shared" ref="H238" si="382">H36</f>
        <v>18</v>
      </c>
      <c r="R238" s="263"/>
      <c r="Z238" s="263"/>
    </row>
    <row r="239" spans="1:26" ht="26.1" customHeight="1">
      <c r="A239" s="276" t="s">
        <v>194</v>
      </c>
      <c r="B239" s="294">
        <f t="shared" ref="B239:G239" si="383">ROUND(B238^2/1600,3)</f>
        <v>0.20300000000000001</v>
      </c>
      <c r="C239" s="294">
        <f t="shared" si="383"/>
        <v>0.34200000000000003</v>
      </c>
      <c r="D239" s="294">
        <f t="shared" si="383"/>
        <v>0.20300000000000001</v>
      </c>
      <c r="E239" s="294">
        <f t="shared" si="383"/>
        <v>0.20300000000000001</v>
      </c>
      <c r="F239" s="294">
        <f t="shared" si="383"/>
        <v>0.20300000000000001</v>
      </c>
      <c r="G239" s="294">
        <f t="shared" si="383"/>
        <v>0.20300000000000001</v>
      </c>
      <c r="H239" s="294">
        <f t="shared" ref="H239" si="384">ROUND(H238^2/1600,3)</f>
        <v>0.20300000000000001</v>
      </c>
      <c r="R239" s="263"/>
      <c r="Z239" s="263"/>
    </row>
    <row r="240" spans="1:26" ht="26.1" customHeight="1">
      <c r="A240" s="276" t="s">
        <v>319</v>
      </c>
      <c r="B240" s="274">
        <v>1.3</v>
      </c>
      <c r="C240" s="274">
        <v>1.3</v>
      </c>
      <c r="D240" s="274">
        <v>1.3</v>
      </c>
      <c r="E240" s="274">
        <v>1.3</v>
      </c>
      <c r="F240" s="274">
        <v>1.3</v>
      </c>
      <c r="G240" s="274">
        <v>1.3</v>
      </c>
      <c r="H240" s="274">
        <v>1.3</v>
      </c>
      <c r="R240" s="263"/>
      <c r="Z240" s="263"/>
    </row>
    <row r="241" spans="1:26" ht="26.1" customHeight="1">
      <c r="A241" s="279" t="s">
        <v>208</v>
      </c>
      <c r="B241" s="277">
        <f>B46</f>
        <v>0.39</v>
      </c>
      <c r="C241" s="277">
        <f t="shared" ref="C241:G241" si="385">C46</f>
        <v>0.64459999999999995</v>
      </c>
      <c r="D241" s="277">
        <f t="shared" si="385"/>
        <v>1.5009999999999999</v>
      </c>
      <c r="E241" s="277">
        <f t="shared" si="385"/>
        <v>2.0381</v>
      </c>
      <c r="F241" s="277">
        <f t="shared" si="385"/>
        <v>1.2361</v>
      </c>
      <c r="G241" s="277">
        <f t="shared" si="385"/>
        <v>1.5009999999999999</v>
      </c>
      <c r="H241" s="277">
        <f t="shared" ref="H241" si="386">H46</f>
        <v>2.1263999999999998</v>
      </c>
      <c r="R241" s="263"/>
      <c r="Z241" s="263"/>
    </row>
    <row r="242" spans="1:26" ht="26.1" customHeight="1">
      <c r="A242" s="279" t="s">
        <v>320</v>
      </c>
      <c r="B242" s="277">
        <f t="shared" ref="B242:G242" si="387">ROUND(B241*$B$31*SIN(RADIANS(B236)),4)</f>
        <v>0.21410000000000001</v>
      </c>
      <c r="C242" s="277">
        <f t="shared" si="387"/>
        <v>0.70520000000000005</v>
      </c>
      <c r="D242" s="277">
        <f t="shared" si="387"/>
        <v>4.7282000000000002</v>
      </c>
      <c r="E242" s="277">
        <f t="shared" si="387"/>
        <v>8.2533999999999992</v>
      </c>
      <c r="F242" s="277">
        <f t="shared" si="387"/>
        <v>3.2911000000000001</v>
      </c>
      <c r="G242" s="277">
        <f t="shared" si="387"/>
        <v>4.7282000000000002</v>
      </c>
      <c r="H242" s="277">
        <f t="shared" ref="H242" si="388">ROUND(H241*$B$31*SIN(RADIANS(H236)),4)</f>
        <v>11.601599999999999</v>
      </c>
      <c r="R242" s="263"/>
      <c r="Z242" s="263"/>
    </row>
    <row r="243" spans="1:26" ht="26.1" customHeight="1">
      <c r="A243" s="279" t="s">
        <v>321</v>
      </c>
      <c r="B243" s="277">
        <f t="shared" ref="B243:G243" si="389">ROUND($B$234*B239*B240*1.4,4)</f>
        <v>8.5000000000000006E-2</v>
      </c>
      <c r="C243" s="277">
        <f t="shared" si="389"/>
        <v>0.14319999999999999</v>
      </c>
      <c r="D243" s="277">
        <f t="shared" si="389"/>
        <v>8.5000000000000006E-2</v>
      </c>
      <c r="E243" s="277">
        <f t="shared" si="389"/>
        <v>8.5000000000000006E-2</v>
      </c>
      <c r="F243" s="277">
        <f t="shared" si="389"/>
        <v>8.5000000000000006E-2</v>
      </c>
      <c r="G243" s="277">
        <f t="shared" si="389"/>
        <v>8.5000000000000006E-2</v>
      </c>
      <c r="H243" s="277">
        <f t="shared" ref="H243" si="390">ROUND($B$234*H239*H240*1.4,4)</f>
        <v>8.5000000000000006E-2</v>
      </c>
      <c r="R243" s="263"/>
      <c r="Z243" s="263"/>
    </row>
    <row r="244" spans="1:26" ht="26.1" customHeight="1">
      <c r="A244" s="279" t="s">
        <v>322</v>
      </c>
      <c r="B244" s="277">
        <f>ROUND(B44*B239*$B$9*$B$235*$B$8*B41,4)</f>
        <v>1.9501999999999999</v>
      </c>
      <c r="C244" s="277">
        <f t="shared" ref="C244:G244" si="391">ROUND(C44*C239*$B$9*$B$235*$B$8*C41,4)</f>
        <v>2.7191000000000001</v>
      </c>
      <c r="D244" s="277">
        <f t="shared" si="391"/>
        <v>5.3799000000000001</v>
      </c>
      <c r="E244" s="277">
        <f t="shared" si="391"/>
        <v>6.5232000000000001</v>
      </c>
      <c r="F244" s="277">
        <f t="shared" si="391"/>
        <v>4.3038999999999996</v>
      </c>
      <c r="G244" s="277">
        <f t="shared" si="391"/>
        <v>5.3799000000000001</v>
      </c>
      <c r="H244" s="277">
        <f t="shared" ref="H244" si="392">ROUND(H44*H239*$B$9*$B$235*$B$8*H41,4)</f>
        <v>4.3712</v>
      </c>
      <c r="R244" s="263"/>
      <c r="Z244" s="263"/>
    </row>
    <row r="245" spans="1:26" ht="26.1" customHeight="1">
      <c r="A245" s="279" t="s">
        <v>323</v>
      </c>
      <c r="B245" s="277">
        <f>ROUND(B45*$B$235*$B$6/100*SIN(RADIANS(B236))*$B$32,4)</f>
        <v>8.0299999999999996E-2</v>
      </c>
      <c r="C245" s="277">
        <f t="shared" ref="C245:G245" si="393">ROUND(C45*$B$235*$B$6/100*SIN(RADIANS(C236))*$B$32,4)</f>
        <v>0.16</v>
      </c>
      <c r="D245" s="277">
        <f t="shared" si="393"/>
        <v>0.46079999999999999</v>
      </c>
      <c r="E245" s="277">
        <f t="shared" si="393"/>
        <v>0.59240000000000004</v>
      </c>
      <c r="F245" s="277">
        <f t="shared" si="393"/>
        <v>0.38950000000000001</v>
      </c>
      <c r="G245" s="277">
        <f t="shared" si="393"/>
        <v>0.46079999999999999</v>
      </c>
      <c r="H245" s="277">
        <f t="shared" ref="H245" si="394">ROUND(H45*$B$235*$B$6/100*SIN(RADIANS(H236))*$B$32,4)</f>
        <v>0.79810000000000003</v>
      </c>
      <c r="R245" s="263"/>
      <c r="Z245" s="263"/>
    </row>
    <row r="246" spans="1:26" ht="26.1" customHeight="1">
      <c r="A246" s="279" t="s">
        <v>324</v>
      </c>
      <c r="B246" s="277">
        <f>ROUND(B45*$B$160*$B$159*($B$235+2)*SIN(RADIANS(B236))*$B$32,4)</f>
        <v>1.47E-2</v>
      </c>
      <c r="C246" s="277">
        <f t="shared" ref="C246:G246" si="395">ROUND(C45*$B$160*$B$159*($B$235+2)*SIN(RADIANS(C236))*$B$32,4)</f>
        <v>2.92E-2</v>
      </c>
      <c r="D246" s="277">
        <f t="shared" si="395"/>
        <v>8.4099999999999994E-2</v>
      </c>
      <c r="E246" s="277">
        <f t="shared" si="395"/>
        <v>0.1081</v>
      </c>
      <c r="F246" s="277">
        <f t="shared" si="395"/>
        <v>7.1099999999999997E-2</v>
      </c>
      <c r="G246" s="277">
        <f t="shared" si="395"/>
        <v>8.4099999999999994E-2</v>
      </c>
      <c r="H246" s="277">
        <f t="shared" ref="H246" si="396">ROUND(H45*$B$160*$B$159*($B$235+2)*SIN(RADIANS(H236))*$B$32,4)</f>
        <v>0.1457</v>
      </c>
      <c r="R246" s="263"/>
      <c r="Z246" s="263"/>
    </row>
    <row r="247" spans="1:26" ht="26.1" customHeight="1">
      <c r="A247" s="279" t="s">
        <v>325</v>
      </c>
      <c r="B247" s="277">
        <f>B244+B245+B246</f>
        <v>2.0451999999999999</v>
      </c>
      <c r="C247" s="277">
        <f t="shared" ref="C247:G247" si="397">C244+C245+C246</f>
        <v>2.9083000000000001</v>
      </c>
      <c r="D247" s="277">
        <f t="shared" si="397"/>
        <v>5.9248000000000003</v>
      </c>
      <c r="E247" s="277">
        <f t="shared" si="397"/>
        <v>7.2237</v>
      </c>
      <c r="F247" s="277">
        <f t="shared" si="397"/>
        <v>4.7645</v>
      </c>
      <c r="G247" s="277">
        <f t="shared" si="397"/>
        <v>5.9248000000000003</v>
      </c>
      <c r="H247" s="277">
        <f t="shared" ref="H247" si="398">H244+H245+H246</f>
        <v>5.3150000000000004</v>
      </c>
      <c r="R247" s="263"/>
      <c r="Z247" s="263"/>
    </row>
    <row r="248" spans="1:26" ht="26.1" customHeight="1">
      <c r="A248" s="279" t="s">
        <v>326</v>
      </c>
      <c r="B248" s="277">
        <f>ROUND(B242*$B$233+B243*$B$233*0.5,4)</f>
        <v>0.59019999999999995</v>
      </c>
      <c r="C248" s="277">
        <f t="shared" ref="C248:G248" si="399">ROUND(C242*$B$233+C243*$B$233*0.5,4)</f>
        <v>1.7866</v>
      </c>
      <c r="D248" s="277">
        <f t="shared" si="399"/>
        <v>10.9726</v>
      </c>
      <c r="E248" s="277">
        <f t="shared" si="399"/>
        <v>19.0806</v>
      </c>
      <c r="F248" s="277">
        <f t="shared" si="399"/>
        <v>7.6673</v>
      </c>
      <c r="G248" s="277">
        <f t="shared" si="399"/>
        <v>10.9726</v>
      </c>
      <c r="H248" s="277">
        <f t="shared" ref="H248" si="400">ROUND(H242*$B$233+H243*$B$233*0.5,4)</f>
        <v>26.781400000000001</v>
      </c>
      <c r="R248" s="263"/>
      <c r="Z248" s="263"/>
    </row>
    <row r="249" spans="1:26" ht="26.1" customHeight="1">
      <c r="A249" s="279" t="s">
        <v>327</v>
      </c>
      <c r="B249" s="277">
        <f>ROUND(B242*$B$233+B243*$B$233*0.5+B247,4)</f>
        <v>2.6354000000000002</v>
      </c>
      <c r="C249" s="277">
        <f t="shared" ref="C249:G249" si="401">ROUND(C242*$B$233+C243*$B$233*0.5+C247,4)</f>
        <v>4.6948999999999996</v>
      </c>
      <c r="D249" s="277">
        <f t="shared" si="401"/>
        <v>16.897400000000001</v>
      </c>
      <c r="E249" s="277">
        <f t="shared" si="401"/>
        <v>26.304300000000001</v>
      </c>
      <c r="F249" s="277">
        <f t="shared" si="401"/>
        <v>12.431800000000001</v>
      </c>
      <c r="G249" s="277">
        <f t="shared" si="401"/>
        <v>16.897400000000001</v>
      </c>
      <c r="H249" s="277">
        <f t="shared" ref="H249" si="402">ROUND(H242*$B$233+H243*$B$233*0.5+H247,4)</f>
        <v>32.096400000000003</v>
      </c>
      <c r="R249" s="263"/>
      <c r="Z249" s="263"/>
    </row>
    <row r="250" spans="1:26" ht="26.1" customHeight="1">
      <c r="A250" s="279" t="s">
        <v>328</v>
      </c>
      <c r="B250" s="277">
        <f t="shared" ref="B250:G250" si="403">ROUND(B241*SIN(RADIANS(B236))+B242,4)</f>
        <v>0.24809999999999999</v>
      </c>
      <c r="C250" s="277">
        <f t="shared" si="403"/>
        <v>0.81710000000000005</v>
      </c>
      <c r="D250" s="277">
        <f t="shared" si="403"/>
        <v>5.4786999999999999</v>
      </c>
      <c r="E250" s="277">
        <f t="shared" si="403"/>
        <v>9.5634999999999994</v>
      </c>
      <c r="F250" s="277">
        <f t="shared" si="403"/>
        <v>3.8134999999999999</v>
      </c>
      <c r="G250" s="277">
        <f t="shared" si="403"/>
        <v>5.4786999999999999</v>
      </c>
      <c r="H250" s="277">
        <f t="shared" ref="H250" si="404">ROUND(H241*SIN(RADIANS(H236))+H242,4)</f>
        <v>13.443099999999999</v>
      </c>
      <c r="R250" s="263"/>
      <c r="Z250" s="263"/>
    </row>
    <row r="251" spans="1:26" ht="26.1" customHeight="1">
      <c r="A251" s="276" t="s">
        <v>329</v>
      </c>
      <c r="B251" s="277">
        <f>ROUND(B248*1000000/$G$226,3)</f>
        <v>6.6</v>
      </c>
      <c r="C251" s="277">
        <f t="shared" ref="C251:G251" si="405">ROUND(C248*1000000/$G$226,3)</f>
        <v>19.978000000000002</v>
      </c>
      <c r="D251" s="277">
        <f t="shared" si="405"/>
        <v>122.696</v>
      </c>
      <c r="E251" s="277">
        <f t="shared" si="405"/>
        <v>213.36</v>
      </c>
      <c r="F251" s="277">
        <f t="shared" si="405"/>
        <v>85.736000000000004</v>
      </c>
      <c r="G251" s="277">
        <f t="shared" si="405"/>
        <v>122.696</v>
      </c>
      <c r="H251" s="277">
        <f t="shared" ref="H251" si="406">ROUND(H248*1000000/$G$226,3)</f>
        <v>299.47000000000003</v>
      </c>
      <c r="R251" s="263"/>
      <c r="Z251" s="263"/>
    </row>
    <row r="252" spans="1:26" ht="26.1" customHeight="1">
      <c r="A252" s="276" t="s">
        <v>330</v>
      </c>
      <c r="B252" s="277">
        <f>ROUND(B249*1000000/$B$226,3)</f>
        <v>21.407</v>
      </c>
      <c r="C252" s="277">
        <f t="shared" ref="C252:G252" si="407">ROUND(C249*1000000/$B$226,3)</f>
        <v>38.136000000000003</v>
      </c>
      <c r="D252" s="277">
        <f t="shared" si="407"/>
        <v>137.256</v>
      </c>
      <c r="E252" s="277">
        <f t="shared" si="407"/>
        <v>213.667</v>
      </c>
      <c r="F252" s="277">
        <f t="shared" si="407"/>
        <v>100.982</v>
      </c>
      <c r="G252" s="277">
        <f t="shared" si="407"/>
        <v>137.256</v>
      </c>
      <c r="H252" s="277">
        <f t="shared" ref="H252" si="408">ROUND(H249*1000000/$B$226,3)</f>
        <v>260.71499999999997</v>
      </c>
      <c r="R252" s="263"/>
      <c r="Z252" s="263"/>
    </row>
    <row r="253" spans="1:26" ht="26.1" customHeight="1">
      <c r="A253" s="278" t="s">
        <v>331</v>
      </c>
      <c r="B253" s="308">
        <f>B251/$B$225</f>
        <v>2.1290322580645199E-2</v>
      </c>
      <c r="C253" s="308">
        <f t="shared" ref="C253:G253" si="409">C251/$B$225</f>
        <v>6.44451612903226E-2</v>
      </c>
      <c r="D253" s="308">
        <f t="shared" si="409"/>
        <v>0.39579354838709702</v>
      </c>
      <c r="E253" s="308">
        <f t="shared" si="409"/>
        <v>0.68825806451612903</v>
      </c>
      <c r="F253" s="308">
        <f t="shared" si="409"/>
        <v>0.276567741935484</v>
      </c>
      <c r="G253" s="308">
        <f t="shared" si="409"/>
        <v>0.39579354838709702</v>
      </c>
      <c r="H253" s="308">
        <f t="shared" ref="H253" si="410">H251/$B$225</f>
        <v>0.96603225806451598</v>
      </c>
      <c r="R253" s="263"/>
      <c r="Z253" s="263"/>
    </row>
    <row r="254" spans="1:26" ht="26.1" customHeight="1">
      <c r="A254" s="278" t="s">
        <v>332</v>
      </c>
      <c r="B254" s="308">
        <f>B252/$B$225</f>
        <v>6.9054838709677394E-2</v>
      </c>
      <c r="C254" s="308">
        <f t="shared" ref="C254:G254" si="411">C252/$B$225</f>
        <v>0.12301935483871</v>
      </c>
      <c r="D254" s="308">
        <f t="shared" si="411"/>
        <v>0.44276129032258099</v>
      </c>
      <c r="E254" s="308">
        <f t="shared" si="411"/>
        <v>0.68924838709677405</v>
      </c>
      <c r="F254" s="308">
        <f t="shared" si="411"/>
        <v>0.32574838709677401</v>
      </c>
      <c r="G254" s="308">
        <f t="shared" si="411"/>
        <v>0.44276129032258099</v>
      </c>
      <c r="H254" s="308">
        <f t="shared" ref="H254" si="412">H252/$B$225</f>
        <v>0.84101612903225798</v>
      </c>
      <c r="R254" s="263"/>
      <c r="Z254" s="263"/>
    </row>
    <row r="255" spans="1:26" ht="26.1" customHeight="1">
      <c r="A255" s="310" t="s">
        <v>333</v>
      </c>
      <c r="R255" s="263"/>
      <c r="Z255" s="263"/>
    </row>
    <row r="256" spans="1:26" ht="26.1" customHeight="1">
      <c r="A256" s="275" t="s">
        <v>189</v>
      </c>
      <c r="B256" s="277">
        <f>B236</f>
        <v>5</v>
      </c>
      <c r="C256" s="277">
        <f t="shared" ref="C256:G256" si="413">C236</f>
        <v>10</v>
      </c>
      <c r="D256" s="277">
        <f t="shared" si="413"/>
        <v>30</v>
      </c>
      <c r="E256" s="277">
        <f t="shared" si="413"/>
        <v>40</v>
      </c>
      <c r="F256" s="277">
        <f t="shared" si="413"/>
        <v>25</v>
      </c>
      <c r="G256" s="277">
        <f t="shared" si="413"/>
        <v>30</v>
      </c>
      <c r="H256" s="277">
        <f t="shared" ref="H256:H257" si="414">H236</f>
        <v>60</v>
      </c>
      <c r="R256" s="263"/>
      <c r="Z256" s="263"/>
    </row>
    <row r="257" spans="1:26" ht="26.1" customHeight="1">
      <c r="A257" s="276" t="s">
        <v>190</v>
      </c>
      <c r="B257" s="277" t="str">
        <f>B237</f>
        <v>正常运行</v>
      </c>
      <c r="C257" s="277" t="str">
        <f t="shared" ref="C257:G257" si="415">C237</f>
        <v>停止保护</v>
      </c>
      <c r="D257" s="277" t="str">
        <f t="shared" si="415"/>
        <v>正常运行</v>
      </c>
      <c r="E257" s="277" t="str">
        <f t="shared" si="415"/>
        <v>正常运行</v>
      </c>
      <c r="F257" s="277" t="str">
        <f t="shared" si="415"/>
        <v>正常运行</v>
      </c>
      <c r="G257" s="277" t="str">
        <f t="shared" si="415"/>
        <v>正常运行</v>
      </c>
      <c r="H257" s="277" t="str">
        <f t="shared" si="414"/>
        <v>正常运行</v>
      </c>
      <c r="R257" s="263"/>
      <c r="Z257" s="263"/>
    </row>
    <row r="258" spans="1:26" ht="26.1" customHeight="1">
      <c r="A258" s="276" t="s">
        <v>193</v>
      </c>
      <c r="B258" s="277">
        <f>B238</f>
        <v>18</v>
      </c>
      <c r="C258" s="277">
        <f t="shared" ref="C258:G258" si="416">C238</f>
        <v>23.4</v>
      </c>
      <c r="D258" s="277">
        <f t="shared" si="416"/>
        <v>18</v>
      </c>
      <c r="E258" s="277">
        <f t="shared" si="416"/>
        <v>18</v>
      </c>
      <c r="F258" s="277">
        <f t="shared" si="416"/>
        <v>18</v>
      </c>
      <c r="G258" s="277">
        <f t="shared" si="416"/>
        <v>18</v>
      </c>
      <c r="H258" s="277">
        <f t="shared" ref="H258" si="417">H238</f>
        <v>18</v>
      </c>
      <c r="R258" s="263"/>
      <c r="Z258" s="263"/>
    </row>
    <row r="259" spans="1:26" ht="26.1" customHeight="1">
      <c r="A259" s="276" t="s">
        <v>194</v>
      </c>
      <c r="B259" s="294">
        <f t="shared" ref="B259:G259" si="418">ROUND(B258^2/1600,3)</f>
        <v>0.20300000000000001</v>
      </c>
      <c r="C259" s="294">
        <f t="shared" si="418"/>
        <v>0.34200000000000003</v>
      </c>
      <c r="D259" s="294">
        <f t="shared" si="418"/>
        <v>0.20300000000000001</v>
      </c>
      <c r="E259" s="294">
        <f t="shared" si="418"/>
        <v>0.20300000000000001</v>
      </c>
      <c r="F259" s="294">
        <f t="shared" si="418"/>
        <v>0.20300000000000001</v>
      </c>
      <c r="G259" s="294">
        <f t="shared" si="418"/>
        <v>0.20300000000000001</v>
      </c>
      <c r="H259" s="294">
        <f t="shared" ref="H259" si="419">ROUND(H258^2/1600,3)</f>
        <v>0.20300000000000001</v>
      </c>
      <c r="R259" s="263"/>
      <c r="Z259" s="263"/>
    </row>
    <row r="260" spans="1:26" ht="26.1" customHeight="1">
      <c r="A260" s="276" t="s">
        <v>319</v>
      </c>
      <c r="B260" s="274">
        <v>1.3</v>
      </c>
      <c r="C260" s="274">
        <v>1.3</v>
      </c>
      <c r="D260" s="274">
        <v>1.3</v>
      </c>
      <c r="E260" s="274">
        <v>1.3</v>
      </c>
      <c r="F260" s="274">
        <v>1.3</v>
      </c>
      <c r="G260" s="274">
        <v>1.3</v>
      </c>
      <c r="H260" s="274">
        <v>1.3</v>
      </c>
      <c r="R260" s="263"/>
      <c r="Z260" s="263"/>
    </row>
    <row r="261" spans="1:26" ht="26.1" customHeight="1">
      <c r="A261" s="279" t="s">
        <v>208</v>
      </c>
      <c r="B261" s="277">
        <f>B108</f>
        <v>0.39</v>
      </c>
      <c r="C261" s="277">
        <f t="shared" ref="C261:G261" si="420">C108</f>
        <v>0.64459999999999995</v>
      </c>
      <c r="D261" s="277">
        <f t="shared" si="420"/>
        <v>1.5009999999999999</v>
      </c>
      <c r="E261" s="277">
        <f t="shared" si="420"/>
        <v>2.0381</v>
      </c>
      <c r="F261" s="277">
        <f t="shared" si="420"/>
        <v>1.2361</v>
      </c>
      <c r="G261" s="277">
        <f t="shared" si="420"/>
        <v>1.5009999999999999</v>
      </c>
      <c r="H261" s="277">
        <f t="shared" ref="H261" si="421">H108</f>
        <v>2.3692000000000002</v>
      </c>
      <c r="R261" s="263"/>
      <c r="Z261" s="263"/>
    </row>
    <row r="262" spans="1:26" ht="26.1" customHeight="1">
      <c r="A262" s="279" t="s">
        <v>320</v>
      </c>
      <c r="B262" s="277">
        <f t="shared" ref="B262:G262" si="422">ROUND(B261*$B$31*SIN(RADIANS(B256)),4)</f>
        <v>0.21410000000000001</v>
      </c>
      <c r="C262" s="277">
        <f t="shared" si="422"/>
        <v>0.70520000000000005</v>
      </c>
      <c r="D262" s="277">
        <f t="shared" si="422"/>
        <v>4.7282000000000002</v>
      </c>
      <c r="E262" s="277">
        <f t="shared" si="422"/>
        <v>8.2533999999999992</v>
      </c>
      <c r="F262" s="277">
        <f t="shared" si="422"/>
        <v>3.2911000000000001</v>
      </c>
      <c r="G262" s="277">
        <f t="shared" si="422"/>
        <v>4.7282000000000002</v>
      </c>
      <c r="H262" s="277">
        <f t="shared" ref="H262" si="423">ROUND(H261*$B$31*SIN(RADIANS(H256)),4)</f>
        <v>12.926299999999999</v>
      </c>
      <c r="R262" s="263"/>
      <c r="Z262" s="263"/>
    </row>
    <row r="263" spans="1:26" ht="26.1" customHeight="1">
      <c r="A263" s="279" t="s">
        <v>334</v>
      </c>
      <c r="B263" s="277">
        <f>ROUND($B$234*B259*B260*B106,4)</f>
        <v>8.5000000000000006E-2</v>
      </c>
      <c r="C263" s="277">
        <f t="shared" ref="C263:G263" si="424">ROUND($B$234*C259*C260*C106,4)</f>
        <v>0.14319999999999999</v>
      </c>
      <c r="D263" s="277">
        <f t="shared" si="424"/>
        <v>8.5000000000000006E-2</v>
      </c>
      <c r="E263" s="277">
        <f t="shared" si="424"/>
        <v>8.5000000000000006E-2</v>
      </c>
      <c r="F263" s="277">
        <f t="shared" si="424"/>
        <v>8.5000000000000006E-2</v>
      </c>
      <c r="G263" s="277">
        <f t="shared" si="424"/>
        <v>8.5000000000000006E-2</v>
      </c>
      <c r="H263" s="277">
        <f t="shared" ref="H263" si="425">ROUND($B$234*H259*H260*H106,4)</f>
        <v>8.5000000000000006E-2</v>
      </c>
      <c r="R263" s="263"/>
      <c r="Z263" s="263"/>
    </row>
    <row r="264" spans="1:26" ht="26.1" customHeight="1">
      <c r="A264" s="279" t="s">
        <v>335</v>
      </c>
      <c r="B264" s="277">
        <f>ROUND(B106*B103*$B$9*$B$235*$B$8*B259,4)</f>
        <v>1.9501999999999999</v>
      </c>
      <c r="C264" s="277">
        <f t="shared" ref="C264:G264" si="426">ROUND(C106*C103*$B$9*$B$235*$B$8*C259,4)</f>
        <v>2.7191000000000001</v>
      </c>
      <c r="D264" s="277">
        <f t="shared" si="426"/>
        <v>5.3799000000000001</v>
      </c>
      <c r="E264" s="277">
        <f t="shared" si="426"/>
        <v>6.5232000000000001</v>
      </c>
      <c r="F264" s="277">
        <f t="shared" si="426"/>
        <v>4.3038999999999996</v>
      </c>
      <c r="G264" s="277">
        <f t="shared" si="426"/>
        <v>5.3799000000000001</v>
      </c>
      <c r="H264" s="277">
        <f t="shared" ref="H264" si="427">ROUND(H106*H103*$B$9*$B$235*$B$8*H259,4)</f>
        <v>5.2454000000000001</v>
      </c>
      <c r="R264" s="263"/>
      <c r="Z264" s="263"/>
    </row>
    <row r="265" spans="1:26" ht="26.1" customHeight="1">
      <c r="A265" s="279" t="s">
        <v>336</v>
      </c>
      <c r="B265" s="277">
        <f>ROUND(B45*$B$235*$B$6/100*SIN(RADIANS(B236))*$B$32,4)</f>
        <v>8.0299999999999996E-2</v>
      </c>
      <c r="C265" s="277">
        <f t="shared" ref="C265:G265" si="428">ROUND(C45*$B$235*$B$6/100*SIN(RADIANS(C236))*$B$32,4)</f>
        <v>0.16</v>
      </c>
      <c r="D265" s="277">
        <f t="shared" si="428"/>
        <v>0.46079999999999999</v>
      </c>
      <c r="E265" s="277">
        <f t="shared" si="428"/>
        <v>0.59240000000000004</v>
      </c>
      <c r="F265" s="277">
        <f t="shared" si="428"/>
        <v>0.38950000000000001</v>
      </c>
      <c r="G265" s="277">
        <f t="shared" si="428"/>
        <v>0.46079999999999999</v>
      </c>
      <c r="H265" s="277">
        <f t="shared" ref="H265" si="429">ROUND(H45*$B$235*$B$6/100*SIN(RADIANS(H236))*$B$32,4)</f>
        <v>0.79810000000000003</v>
      </c>
      <c r="R265" s="263"/>
      <c r="Z265" s="263"/>
    </row>
    <row r="266" spans="1:26" ht="26.1" customHeight="1">
      <c r="A266" s="279" t="s">
        <v>324</v>
      </c>
      <c r="B266" s="277">
        <f>ROUND(B45*$B$160*$B$159*($B$235+2)*SIN(RADIANS(B236))*$B$32,4)</f>
        <v>1.47E-2</v>
      </c>
      <c r="C266" s="277">
        <f t="shared" ref="C266:G266" si="430">ROUND(C45*$B$160*$B$159*($B$235+2)*SIN(RADIANS(C236))*$B$32,4)</f>
        <v>2.92E-2</v>
      </c>
      <c r="D266" s="277">
        <f t="shared" si="430"/>
        <v>8.4099999999999994E-2</v>
      </c>
      <c r="E266" s="277">
        <f t="shared" si="430"/>
        <v>0.1081</v>
      </c>
      <c r="F266" s="277">
        <f t="shared" si="430"/>
        <v>7.1099999999999997E-2</v>
      </c>
      <c r="G266" s="277">
        <f t="shared" si="430"/>
        <v>8.4099999999999994E-2</v>
      </c>
      <c r="H266" s="277">
        <f t="shared" ref="H266" si="431">ROUND(H45*$B$160*$B$159*($B$235+2)*SIN(RADIANS(H236))*$B$32,4)</f>
        <v>0.1457</v>
      </c>
      <c r="R266" s="263"/>
      <c r="Z266" s="263"/>
    </row>
    <row r="267" spans="1:26" ht="26.1" customHeight="1">
      <c r="A267" s="279" t="s">
        <v>325</v>
      </c>
      <c r="B267" s="277">
        <f>B264+B265+B266</f>
        <v>2.0451999999999999</v>
      </c>
      <c r="C267" s="277">
        <f t="shared" ref="C267:G267" si="432">C264+C265+C266</f>
        <v>2.9083000000000001</v>
      </c>
      <c r="D267" s="277">
        <f t="shared" si="432"/>
        <v>5.9248000000000003</v>
      </c>
      <c r="E267" s="277">
        <f t="shared" si="432"/>
        <v>7.2237</v>
      </c>
      <c r="F267" s="277">
        <f t="shared" si="432"/>
        <v>4.7645</v>
      </c>
      <c r="G267" s="277">
        <f t="shared" si="432"/>
        <v>5.9248000000000003</v>
      </c>
      <c r="H267" s="277">
        <f t="shared" ref="H267" si="433">H264+H265+H266</f>
        <v>6.1891999999999996</v>
      </c>
      <c r="R267" s="263"/>
      <c r="Z267" s="263"/>
    </row>
    <row r="268" spans="1:26" ht="26.1" customHeight="1">
      <c r="A268" s="279" t="s">
        <v>326</v>
      </c>
      <c r="B268" s="277">
        <f>ROUND(B262*$G$233+B263*$G$233*0.5,4)</f>
        <v>0.59019999999999995</v>
      </c>
      <c r="C268" s="277">
        <f t="shared" ref="C268:G268" si="434">ROUND(C262*$G$233+C263*$G$233*0.5,4)</f>
        <v>1.7866</v>
      </c>
      <c r="D268" s="277">
        <f t="shared" si="434"/>
        <v>10.9726</v>
      </c>
      <c r="E268" s="277">
        <f t="shared" si="434"/>
        <v>19.0806</v>
      </c>
      <c r="F268" s="277">
        <f t="shared" si="434"/>
        <v>7.6673</v>
      </c>
      <c r="G268" s="277">
        <f t="shared" si="434"/>
        <v>10.9726</v>
      </c>
      <c r="H268" s="277">
        <f t="shared" ref="H268" si="435">ROUND(H262*$G$233+H263*$G$233*0.5,4)</f>
        <v>29.828199999999999</v>
      </c>
      <c r="R268" s="263"/>
      <c r="Z268" s="263"/>
    </row>
    <row r="269" spans="1:26" ht="26.1" customHeight="1">
      <c r="A269" s="279" t="s">
        <v>327</v>
      </c>
      <c r="B269" s="277">
        <f>ROUND(B262*$B$233+B263*$B$233*0.5+B267,4)</f>
        <v>2.6354000000000002</v>
      </c>
      <c r="C269" s="277">
        <f t="shared" ref="C269:G269" si="436">ROUND(C262*$B$233+C263*$B$233*0.5+C267,4)</f>
        <v>4.6948999999999996</v>
      </c>
      <c r="D269" s="277">
        <f t="shared" si="436"/>
        <v>16.897400000000001</v>
      </c>
      <c r="E269" s="277">
        <f t="shared" si="436"/>
        <v>26.304300000000001</v>
      </c>
      <c r="F269" s="277">
        <f t="shared" si="436"/>
        <v>12.431800000000001</v>
      </c>
      <c r="G269" s="277">
        <f t="shared" si="436"/>
        <v>16.897400000000001</v>
      </c>
      <c r="H269" s="277">
        <f t="shared" ref="H269" si="437">ROUND(H262*$B$233+H263*$B$233*0.5+H267,4)</f>
        <v>36.017400000000002</v>
      </c>
      <c r="R269" s="263"/>
    </row>
    <row r="270" spans="1:26" ht="26.1" customHeight="1">
      <c r="A270" s="279" t="s">
        <v>328</v>
      </c>
      <c r="B270" s="277">
        <f t="shared" ref="B270:G270" si="438">ROUND(B261*SIN(RADIANS(B256))+B262,4)</f>
        <v>0.24809999999999999</v>
      </c>
      <c r="C270" s="277">
        <f t="shared" si="438"/>
        <v>0.81710000000000005</v>
      </c>
      <c r="D270" s="277">
        <f t="shared" si="438"/>
        <v>5.4786999999999999</v>
      </c>
      <c r="E270" s="277">
        <f t="shared" si="438"/>
        <v>9.5634999999999994</v>
      </c>
      <c r="F270" s="277">
        <f t="shared" si="438"/>
        <v>3.8134999999999999</v>
      </c>
      <c r="G270" s="277">
        <f t="shared" si="438"/>
        <v>5.4786999999999999</v>
      </c>
      <c r="H270" s="277">
        <f t="shared" ref="H270" si="439">ROUND(H261*SIN(RADIANS(H256))+H262,4)</f>
        <v>14.9781</v>
      </c>
      <c r="R270" s="263"/>
    </row>
    <row r="271" spans="1:26" ht="26.1" customHeight="1">
      <c r="A271" s="276" t="s">
        <v>329</v>
      </c>
      <c r="B271" s="277">
        <f>ROUND(B268*1000000/$G$226,3)</f>
        <v>6.6</v>
      </c>
      <c r="C271" s="277">
        <f t="shared" ref="C271:G271" si="440">ROUND(C268*1000000/$G$226,3)</f>
        <v>19.978000000000002</v>
      </c>
      <c r="D271" s="277">
        <f t="shared" si="440"/>
        <v>122.696</v>
      </c>
      <c r="E271" s="277">
        <f t="shared" si="440"/>
        <v>213.36</v>
      </c>
      <c r="F271" s="277">
        <f t="shared" si="440"/>
        <v>85.736000000000004</v>
      </c>
      <c r="G271" s="277">
        <f t="shared" si="440"/>
        <v>122.696</v>
      </c>
      <c r="H271" s="277">
        <f t="shared" ref="H271" si="441">ROUND(H268*1000000/$G$226,3)</f>
        <v>333.54</v>
      </c>
      <c r="R271" s="263"/>
    </row>
    <row r="272" spans="1:26" ht="26.1" customHeight="1">
      <c r="A272" s="276" t="s">
        <v>330</v>
      </c>
      <c r="B272" s="277">
        <f>ROUND(B269*1000000/$B$226,3)</f>
        <v>21.407</v>
      </c>
      <c r="C272" s="277">
        <f t="shared" ref="C272:G272" si="442">ROUND(C269*1000000/$B$226,3)</f>
        <v>38.136000000000003</v>
      </c>
      <c r="D272" s="277">
        <f t="shared" si="442"/>
        <v>137.256</v>
      </c>
      <c r="E272" s="277">
        <f t="shared" si="442"/>
        <v>213.667</v>
      </c>
      <c r="F272" s="277">
        <f t="shared" si="442"/>
        <v>100.982</v>
      </c>
      <c r="G272" s="277">
        <f t="shared" si="442"/>
        <v>137.256</v>
      </c>
      <c r="H272" s="277">
        <f t="shared" ref="H272" si="443">ROUND(H269*1000000/$B$226,3)</f>
        <v>292.565</v>
      </c>
      <c r="R272" s="263"/>
    </row>
    <row r="273" spans="1:18" ht="26.1" customHeight="1">
      <c r="A273" s="278" t="s">
        <v>331</v>
      </c>
      <c r="B273" s="308">
        <f>B271/$B$225</f>
        <v>2.1290322580645199E-2</v>
      </c>
      <c r="C273" s="308">
        <f t="shared" ref="C273:G273" si="444">C271/$B$225</f>
        <v>6.44451612903226E-2</v>
      </c>
      <c r="D273" s="308">
        <f t="shared" si="444"/>
        <v>0.39579354838709702</v>
      </c>
      <c r="E273" s="308">
        <f t="shared" si="444"/>
        <v>0.68825806451612903</v>
      </c>
      <c r="F273" s="308">
        <f t="shared" si="444"/>
        <v>0.276567741935484</v>
      </c>
      <c r="G273" s="308">
        <f t="shared" si="444"/>
        <v>0.39579354838709702</v>
      </c>
      <c r="H273" s="308">
        <f t="shared" ref="H273" si="445">H271/$B$225</f>
        <v>1.07593548387097</v>
      </c>
      <c r="R273" s="263"/>
    </row>
    <row r="274" spans="1:18" ht="26.1" customHeight="1">
      <c r="A274" s="278" t="s">
        <v>332</v>
      </c>
      <c r="B274" s="308">
        <f>B272/$B$225</f>
        <v>6.9054838709677394E-2</v>
      </c>
      <c r="C274" s="308">
        <f t="shared" ref="C274:G274" si="446">C272/$B$225</f>
        <v>0.12301935483871</v>
      </c>
      <c r="D274" s="308">
        <f t="shared" si="446"/>
        <v>0.44276129032258099</v>
      </c>
      <c r="E274" s="308">
        <f t="shared" si="446"/>
        <v>0.68924838709677405</v>
      </c>
      <c r="F274" s="308">
        <f t="shared" si="446"/>
        <v>0.32574838709677401</v>
      </c>
      <c r="G274" s="308">
        <f t="shared" si="446"/>
        <v>0.44276129032258099</v>
      </c>
      <c r="H274" s="308">
        <f t="shared" ref="H274" si="447">H272/$B$225</f>
        <v>0.94375806451612898</v>
      </c>
      <c r="R274" s="263"/>
    </row>
    <row r="275" spans="1:18" ht="26.1" customHeight="1">
      <c r="R275" s="263"/>
    </row>
    <row r="276" spans="1:18" ht="26.1" customHeight="1">
      <c r="R276" s="263"/>
    </row>
    <row r="277" spans="1:18" ht="26.1" customHeight="1">
      <c r="R277" s="263"/>
    </row>
    <row r="278" spans="1:18" ht="26.1" customHeight="1">
      <c r="R278" s="263"/>
    </row>
    <row r="279" spans="1:18" ht="26.1" customHeight="1">
      <c r="R279" s="263"/>
    </row>
    <row r="280" spans="1:18" ht="26.1" customHeight="1">
      <c r="R280" s="263"/>
    </row>
    <row r="281" spans="1:18" ht="26.1" customHeight="1">
      <c r="R281" s="263"/>
    </row>
    <row r="282" spans="1:18" ht="26.1" customHeight="1">
      <c r="R282" s="263"/>
    </row>
    <row r="283" spans="1:18" ht="26.1" customHeight="1">
      <c r="R283" s="263"/>
    </row>
    <row r="284" spans="1:18" ht="26.1" customHeight="1">
      <c r="R284" s="263"/>
    </row>
    <row r="285" spans="1:18" ht="26.1" customHeight="1">
      <c r="R285" s="263"/>
    </row>
    <row r="286" spans="1:18" ht="26.1" customHeight="1">
      <c r="R286" s="263"/>
    </row>
    <row r="287" spans="1:18" ht="26.1" customHeight="1">
      <c r="R287" s="263"/>
    </row>
    <row r="288" spans="1:18" ht="26.1" customHeight="1">
      <c r="R288" s="263"/>
    </row>
    <row r="289" spans="18:18" ht="26.1" customHeight="1">
      <c r="R289" s="263"/>
    </row>
    <row r="290" spans="18:18" ht="26.1" customHeight="1">
      <c r="R290" s="263"/>
    </row>
    <row r="291" spans="18:18" ht="26.1" customHeight="1">
      <c r="R291" s="263"/>
    </row>
    <row r="292" spans="18:18" ht="26.1" customHeight="1">
      <c r="R292" s="263"/>
    </row>
    <row r="293" spans="18:18" ht="26.1" customHeight="1">
      <c r="R293" s="263"/>
    </row>
    <row r="294" spans="18:18" ht="26.1" customHeight="1">
      <c r="R294" s="263"/>
    </row>
    <row r="295" spans="18:18" ht="26.1" customHeight="1">
      <c r="R295" s="263"/>
    </row>
    <row r="296" spans="18:18" ht="26.1" customHeight="1">
      <c r="R296" s="263"/>
    </row>
    <row r="297" spans="18:18" ht="26.1" customHeight="1">
      <c r="R297" s="263"/>
    </row>
    <row r="298" spans="18:18" ht="26.1" customHeight="1">
      <c r="R298" s="263"/>
    </row>
    <row r="299" spans="18:18" ht="26.1" customHeight="1">
      <c r="R299" s="263"/>
    </row>
    <row r="300" spans="18:18" ht="26.1" customHeight="1">
      <c r="R300" s="263"/>
    </row>
    <row r="301" spans="18:18" ht="26.1" customHeight="1">
      <c r="R301" s="263"/>
    </row>
    <row r="302" spans="18:18" ht="26.1" customHeight="1">
      <c r="R302" s="263"/>
    </row>
    <row r="303" spans="18:18" ht="26.1" customHeight="1">
      <c r="R303" s="263"/>
    </row>
    <row r="304" spans="18:18" ht="26.1" customHeight="1">
      <c r="R304" s="263"/>
    </row>
    <row r="305" spans="18:18" ht="26.1" customHeight="1">
      <c r="R305" s="263"/>
    </row>
    <row r="306" spans="18:18" ht="26.1" customHeight="1">
      <c r="R306" s="263"/>
    </row>
    <row r="307" spans="18:18" ht="26.1" customHeight="1">
      <c r="R307" s="263"/>
    </row>
    <row r="308" spans="18:18" ht="26.1" customHeight="1">
      <c r="R308" s="263"/>
    </row>
    <row r="309" spans="18:18" ht="26.1" customHeight="1">
      <c r="R309" s="263"/>
    </row>
    <row r="310" spans="18:18" ht="26.1" customHeight="1">
      <c r="R310" s="263"/>
    </row>
    <row r="311" spans="18:18" ht="26.1" customHeight="1">
      <c r="R311" s="263"/>
    </row>
    <row r="312" spans="18:18" ht="26.1" customHeight="1">
      <c r="R312" s="263"/>
    </row>
    <row r="313" spans="18:18" ht="26.1" customHeight="1">
      <c r="R313" s="263"/>
    </row>
    <row r="314" spans="18:18" ht="26.1" customHeight="1">
      <c r="R314" s="263"/>
    </row>
    <row r="315" spans="18:18" ht="26.1" customHeight="1">
      <c r="R315" s="263"/>
    </row>
    <row r="316" spans="18:18" ht="26.1" customHeight="1">
      <c r="R316" s="263"/>
    </row>
    <row r="317" spans="18:18" ht="26.1" customHeight="1">
      <c r="R317" s="263"/>
    </row>
    <row r="318" spans="18:18" ht="26.1" customHeight="1">
      <c r="R318" s="263"/>
    </row>
    <row r="319" spans="18:18" ht="26.1" customHeight="1">
      <c r="R319" s="263"/>
    </row>
    <row r="320" spans="18:18" ht="26.1" customHeight="1">
      <c r="R320" s="263"/>
    </row>
    <row r="321" spans="18:18" ht="26.1" customHeight="1">
      <c r="R321" s="263"/>
    </row>
    <row r="322" spans="18:18" ht="26.1" customHeight="1">
      <c r="R322" s="263"/>
    </row>
    <row r="323" spans="18:18" ht="26.1" customHeight="1">
      <c r="R323" s="263"/>
    </row>
    <row r="324" spans="18:18" ht="26.1" customHeight="1">
      <c r="R324" s="263"/>
    </row>
    <row r="325" spans="18:18" ht="26.1" customHeight="1">
      <c r="R325" s="263"/>
    </row>
    <row r="326" spans="18:18" ht="26.1" customHeight="1">
      <c r="R326" s="263"/>
    </row>
    <row r="327" spans="18:18" ht="26.1" customHeight="1">
      <c r="R327" s="263"/>
    </row>
    <row r="328" spans="18:18" ht="26.1" customHeight="1">
      <c r="R328" s="263"/>
    </row>
    <row r="329" spans="18:18" ht="26.1" customHeight="1">
      <c r="R329" s="263"/>
    </row>
    <row r="330" spans="18:18" ht="26.1" customHeight="1">
      <c r="R330" s="263"/>
    </row>
    <row r="331" spans="18:18" ht="26.1" customHeight="1">
      <c r="R331" s="263"/>
    </row>
    <row r="332" spans="18:18" ht="26.1" customHeight="1">
      <c r="R332" s="263"/>
    </row>
    <row r="333" spans="18:18" ht="26.1" customHeight="1">
      <c r="R333" s="263"/>
    </row>
    <row r="334" spans="18:18" ht="26.1" customHeight="1">
      <c r="R334" s="263"/>
    </row>
    <row r="335" spans="18:18" ht="26.1" customHeight="1">
      <c r="R335" s="263"/>
    </row>
    <row r="336" spans="18:18" ht="26.1" customHeight="1">
      <c r="R336" s="263"/>
    </row>
    <row r="337" spans="18:18" ht="26.1" customHeight="1">
      <c r="R337" s="263"/>
    </row>
    <row r="338" spans="18:18" ht="26.1" customHeight="1">
      <c r="R338" s="263"/>
    </row>
    <row r="339" spans="18:18" ht="26.1" customHeight="1">
      <c r="R339" s="263"/>
    </row>
    <row r="340" spans="18:18" ht="26.1" customHeight="1">
      <c r="R340" s="263"/>
    </row>
    <row r="341" spans="18:18" ht="26.1" customHeight="1">
      <c r="R341" s="263"/>
    </row>
    <row r="342" spans="18:18" ht="26.1" customHeight="1">
      <c r="R342" s="263"/>
    </row>
    <row r="343" spans="18:18" ht="26.1" customHeight="1">
      <c r="R343" s="263"/>
    </row>
    <row r="344" spans="18:18" ht="26.1" customHeight="1">
      <c r="R344" s="263"/>
    </row>
    <row r="345" spans="18:18" ht="26.1" customHeight="1">
      <c r="R345" s="263"/>
    </row>
    <row r="346" spans="18:18" ht="26.1" customHeight="1">
      <c r="R346" s="263"/>
    </row>
    <row r="347" spans="18:18" ht="26.1" customHeight="1">
      <c r="R347" s="263"/>
    </row>
    <row r="348" spans="18:18" ht="26.1" customHeight="1">
      <c r="R348" s="263"/>
    </row>
    <row r="349" spans="18:18" ht="26.1" customHeight="1">
      <c r="R349" s="263"/>
    </row>
    <row r="350" spans="18:18" ht="26.1" customHeight="1">
      <c r="R350" s="263"/>
    </row>
    <row r="351" spans="18:18" ht="26.1" customHeight="1">
      <c r="R351" s="263"/>
    </row>
    <row r="352" spans="18:18" ht="26.1" customHeight="1">
      <c r="R352" s="263"/>
    </row>
    <row r="353" spans="18:18" ht="26.1" customHeight="1">
      <c r="R353" s="263"/>
    </row>
    <row r="354" spans="18:18" ht="26.1" customHeight="1">
      <c r="R354" s="263"/>
    </row>
    <row r="355" spans="18:18" ht="26.1" customHeight="1">
      <c r="R355" s="263"/>
    </row>
    <row r="356" spans="18:18" ht="26.1" customHeight="1">
      <c r="R356" s="263"/>
    </row>
    <row r="357" spans="18:18" ht="26.1" customHeight="1">
      <c r="R357" s="263"/>
    </row>
    <row r="358" spans="18:18" ht="26.1" customHeight="1">
      <c r="R358" s="263"/>
    </row>
    <row r="359" spans="18:18" ht="26.1" customHeight="1">
      <c r="R359" s="263"/>
    </row>
    <row r="360" spans="18:18" ht="26.1" customHeight="1">
      <c r="R360" s="263"/>
    </row>
    <row r="361" spans="18:18" ht="26.1" customHeight="1">
      <c r="R361" s="263"/>
    </row>
    <row r="362" spans="18:18" ht="26.1" customHeight="1">
      <c r="R362" s="263"/>
    </row>
    <row r="363" spans="18:18" ht="26.1" customHeight="1">
      <c r="R363" s="263"/>
    </row>
    <row r="364" spans="18:18" ht="26.1" customHeight="1">
      <c r="R364" s="263"/>
    </row>
    <row r="365" spans="18:18" ht="26.1" customHeight="1">
      <c r="R365" s="263"/>
    </row>
    <row r="366" spans="18:18" ht="26.1" customHeight="1">
      <c r="R366" s="263"/>
    </row>
    <row r="367" spans="18:18" ht="26.1" customHeight="1">
      <c r="R367" s="263"/>
    </row>
    <row r="368" spans="18:18" ht="26.1" customHeight="1">
      <c r="R368" s="263"/>
    </row>
    <row r="369" spans="18:18" ht="26.1" customHeight="1">
      <c r="R369" s="263"/>
    </row>
    <row r="370" spans="18:18" ht="26.1" customHeight="1">
      <c r="R370" s="263"/>
    </row>
    <row r="371" spans="18:18" ht="26.1" customHeight="1">
      <c r="R371" s="263"/>
    </row>
    <row r="372" spans="18:18" ht="26.1" customHeight="1">
      <c r="R372" s="263"/>
    </row>
    <row r="373" spans="18:18" ht="26.1" customHeight="1">
      <c r="R373" s="263"/>
    </row>
    <row r="374" spans="18:18" ht="26.1" customHeight="1">
      <c r="R374" s="263"/>
    </row>
    <row r="375" spans="18:18" ht="26.1" customHeight="1">
      <c r="R375" s="263"/>
    </row>
    <row r="376" spans="18:18" ht="26.1" customHeight="1">
      <c r="R376" s="263"/>
    </row>
    <row r="377" spans="18:18" ht="26.1" customHeight="1">
      <c r="R377" s="263"/>
    </row>
    <row r="378" spans="18:18" ht="26.1" customHeight="1">
      <c r="R378" s="263"/>
    </row>
    <row r="379" spans="18:18" ht="26.1" customHeight="1">
      <c r="R379" s="263"/>
    </row>
    <row r="380" spans="18:18" ht="26.1" customHeight="1">
      <c r="R380" s="263"/>
    </row>
    <row r="381" spans="18:18" ht="26.1" customHeight="1">
      <c r="R381" s="263"/>
    </row>
    <row r="382" spans="18:18" ht="26.1" customHeight="1">
      <c r="R382" s="263"/>
    </row>
    <row r="383" spans="18:18" ht="26.1" customHeight="1">
      <c r="R383" s="263"/>
    </row>
    <row r="384" spans="18:18" ht="26.1" customHeight="1">
      <c r="R384" s="263"/>
    </row>
    <row r="385" spans="18:18" ht="26.1" customHeight="1">
      <c r="R385" s="263"/>
    </row>
    <row r="386" spans="18:18" ht="26.1" customHeight="1">
      <c r="R386" s="263"/>
    </row>
    <row r="387" spans="18:18" ht="26.1" customHeight="1">
      <c r="R387" s="263"/>
    </row>
    <row r="388" spans="18:18" ht="26.1" customHeight="1">
      <c r="R388" s="263"/>
    </row>
    <row r="389" spans="18:18" ht="26.1" customHeight="1">
      <c r="R389" s="263"/>
    </row>
    <row r="390" spans="18:18" ht="26.1" customHeight="1">
      <c r="R390" s="263"/>
    </row>
    <row r="391" spans="18:18" ht="26.1" customHeight="1">
      <c r="R391" s="263"/>
    </row>
    <row r="392" spans="18:18" ht="26.1" customHeight="1">
      <c r="R392" s="263"/>
    </row>
    <row r="393" spans="18:18" ht="26.1" customHeight="1">
      <c r="R393" s="263"/>
    </row>
    <row r="394" spans="18:18" ht="26.1" customHeight="1">
      <c r="R394" s="263"/>
    </row>
    <row r="395" spans="18:18" ht="26.1" customHeight="1">
      <c r="R395" s="263"/>
    </row>
    <row r="396" spans="18:18" ht="26.1" customHeight="1">
      <c r="R396" s="263"/>
    </row>
    <row r="397" spans="18:18" ht="26.1" customHeight="1">
      <c r="R397" s="263"/>
    </row>
    <row r="398" spans="18:18" ht="26.1" customHeight="1">
      <c r="R398" s="263"/>
    </row>
    <row r="399" spans="18:18" ht="26.1" customHeight="1">
      <c r="R399" s="263"/>
    </row>
    <row r="400" spans="18:18" ht="26.1" customHeight="1">
      <c r="R400" s="263"/>
    </row>
    <row r="401" spans="18:18" ht="26.1" customHeight="1">
      <c r="R401" s="263"/>
    </row>
    <row r="402" spans="18:18" ht="26.1" customHeight="1">
      <c r="R402" s="263"/>
    </row>
    <row r="403" spans="18:18" ht="26.1" customHeight="1">
      <c r="R403" s="263"/>
    </row>
    <row r="404" spans="18:18" ht="26.1" customHeight="1">
      <c r="R404" s="263"/>
    </row>
    <row r="405" spans="18:18" ht="26.1" customHeight="1">
      <c r="R405" s="263"/>
    </row>
    <row r="406" spans="18:18" ht="26.1" customHeight="1">
      <c r="R406" s="263"/>
    </row>
    <row r="407" spans="18:18" ht="26.1" customHeight="1">
      <c r="R407" s="263"/>
    </row>
    <row r="408" spans="18:18" ht="26.1" customHeight="1">
      <c r="R408" s="263"/>
    </row>
    <row r="409" spans="18:18" ht="26.1" customHeight="1">
      <c r="R409" s="263"/>
    </row>
    <row r="410" spans="18:18" ht="26.1" customHeight="1">
      <c r="R410" s="263"/>
    </row>
    <row r="411" spans="18:18" ht="26.1" customHeight="1">
      <c r="R411" s="263"/>
    </row>
    <row r="412" spans="18:18" ht="26.1" customHeight="1">
      <c r="R412" s="263"/>
    </row>
    <row r="413" spans="18:18" ht="26.1" customHeight="1">
      <c r="R413" s="263"/>
    </row>
    <row r="414" spans="18:18" ht="26.1" customHeight="1">
      <c r="R414" s="263"/>
    </row>
    <row r="415" spans="18:18" ht="26.1" customHeight="1">
      <c r="R415" s="263"/>
    </row>
    <row r="416" spans="18:18" ht="26.1" customHeight="1">
      <c r="R416" s="263"/>
    </row>
    <row r="417" spans="18:18" ht="26.1" customHeight="1">
      <c r="R417" s="263"/>
    </row>
    <row r="418" spans="18:18" ht="26.1" customHeight="1">
      <c r="R418" s="263"/>
    </row>
  </sheetData>
  <sheetProtection password="CE28" sheet="1" objects="1" scenarios="1"/>
  <mergeCells count="34">
    <mergeCell ref="E231:F231"/>
    <mergeCell ref="E232:F232"/>
    <mergeCell ref="E233:F233"/>
    <mergeCell ref="E234:F234"/>
    <mergeCell ref="E235:F235"/>
    <mergeCell ref="E225:F225"/>
    <mergeCell ref="E226:F226"/>
    <mergeCell ref="E228:F228"/>
    <mergeCell ref="E229:F229"/>
    <mergeCell ref="E230:F230"/>
    <mergeCell ref="A139:H139"/>
    <mergeCell ref="E222:F222"/>
    <mergeCell ref="E223:F223"/>
    <mergeCell ref="G223:H223"/>
    <mergeCell ref="E224:F224"/>
    <mergeCell ref="A140:H142"/>
    <mergeCell ref="U86:W86"/>
    <mergeCell ref="X86:Z86"/>
    <mergeCell ref="K102:M102"/>
    <mergeCell ref="N102:P102"/>
    <mergeCell ref="U102:W102"/>
    <mergeCell ref="X102:Z102"/>
    <mergeCell ref="L58:N58"/>
    <mergeCell ref="L67:N67"/>
    <mergeCell ref="L76:N76"/>
    <mergeCell ref="A77:H77"/>
    <mergeCell ref="K86:M86"/>
    <mergeCell ref="N86:P86"/>
    <mergeCell ref="A78:H80"/>
    <mergeCell ref="A1:H1"/>
    <mergeCell ref="J1:AF1"/>
    <mergeCell ref="BD28:BE28"/>
    <mergeCell ref="L40:N40"/>
    <mergeCell ref="L49:N49"/>
  </mergeCells>
  <phoneticPr fontId="80" type="noConversion"/>
  <conditionalFormatting sqref="B147:G148 B218:G219">
    <cfRule type="cellIs" dxfId="65" priority="21" operator="greaterThan">
      <formula>1</formula>
    </cfRule>
  </conditionalFormatting>
  <conditionalFormatting sqref="B85:H85">
    <cfRule type="cellIs" dxfId="64" priority="6" operator="greaterThan">
      <formula>1</formula>
    </cfRule>
  </conditionalFormatting>
  <conditionalFormatting sqref="B192:H192">
    <cfRule type="cellIs" dxfId="63" priority="4" operator="greaterThan">
      <formula>1</formula>
    </cfRule>
  </conditionalFormatting>
  <conditionalFormatting sqref="B253:H254">
    <cfRule type="cellIs" dxfId="62" priority="2" operator="greaterThan">
      <formula>1</formula>
    </cfRule>
  </conditionalFormatting>
  <conditionalFormatting sqref="B273:H274">
    <cfRule type="cellIs" dxfId="61" priority="1" operator="greaterThan">
      <formula>1</formula>
    </cfRule>
  </conditionalFormatting>
  <conditionalFormatting sqref="F220:I220">
    <cfRule type="containsText" dxfId="60" priority="27" operator="containsText" text="不满足">
      <formula>NOT(ISERROR(SEARCH("不满足",F220)))</formula>
    </cfRule>
  </conditionalFormatting>
  <conditionalFormatting sqref="H147">
    <cfRule type="cellIs" dxfId="59" priority="5" operator="greaterThan">
      <formula>1</formula>
    </cfRule>
  </conditionalFormatting>
  <conditionalFormatting sqref="H218">
    <cfRule type="cellIs" dxfId="58" priority="3" operator="greaterThan">
      <formula>1</formula>
    </cfRule>
  </conditionalFormatting>
  <dataValidations count="12">
    <dataValidation type="list" allowBlank="1" showInputMessage="1" showErrorMessage="1" sqref="B12" xr:uid="{00000000-0002-0000-0200-000000000000}">
      <formula1>"方管,多棱管,O形截面"</formula1>
    </dataValidation>
    <dataValidation type="list" allowBlank="1" showInputMessage="1" showErrorMessage="1" sqref="B13" xr:uid="{00000000-0002-0000-0200-000001000000}">
      <formula1>IF($B$12="钢管",$J$5:$J$12,IF($B$12="方管",$AA$5:$AA$12,IF($B$12="H型钢",$J$17:$J$26,IF($B$12="多棱管",$J$30:$J$35,IF($B$12="O形截面",$AA$17:$AA$24)))))</formula1>
    </dataValidation>
    <dataValidation type="list" allowBlank="1" showInputMessage="1" showErrorMessage="1" sqref="E32" xr:uid="{00000000-0002-0000-0200-000002000000}">
      <formula1>"自动,自定义"</formula1>
    </dataValidation>
    <dataValidation type="list" allowBlank="1" showInputMessage="1" showErrorMessage="1" sqref="E33" xr:uid="{00000000-0002-0000-0200-000003000000}">
      <formula1>"1P,2P"</formula1>
    </dataValidation>
    <dataValidation type="list" allowBlank="1" showInputMessage="1" showErrorMessage="1" sqref="B34:H34" xr:uid="{00000000-0002-0000-0200-000004000000}">
      <formula1>$J$88:$J$100</formula1>
    </dataValidation>
    <dataValidation type="list" allowBlank="1" showInputMessage="1" showErrorMessage="1" sqref="B35:H35 B97:H97 B170:H170 B196:H196 B237:H237 B257:H257" xr:uid="{00000000-0002-0000-0200-000005000000}">
      <formula1>"正常运行,停止保护"</formula1>
    </dataValidation>
    <dataValidation type="list" allowBlank="1" showInputMessage="1" showErrorMessage="1" sqref="B150" xr:uid="{00000000-0002-0000-0200-000006000000}">
      <formula1>"方管,几型钢,自定义"</formula1>
    </dataValidation>
    <dataValidation type="list" allowBlank="1" showInputMessage="1" showErrorMessage="1" sqref="B151" xr:uid="{00000000-0002-0000-0200-000007000000}">
      <formula1>IF($B$150="钢管",$J$5:$J$12,IF($B$150="方管",$AA$5:$AA$12,IF($B$150="H型钢",$J$17:$J$26,IF($B$150="多棱管",$J$30:$J$31,IF($B$150="自定义",$AA$17:$AA$26,IF($B$150="几型钢",$AA$30:$AA$31))))))</formula1>
    </dataValidation>
    <dataValidation type="list" allowBlank="1" showInputMessage="1" showErrorMessage="1" sqref="B222 G222" xr:uid="{00000000-0002-0000-0200-000008000000}">
      <formula1>"钢管,方管,H型钢,自定义"</formula1>
    </dataValidation>
    <dataValidation type="list" allowBlank="1" showInputMessage="1" showErrorMessage="1" sqref="B223 G223" xr:uid="{00000000-0002-0000-0200-000009000000}">
      <formula1>IF($B$222="钢管",$J$5:$J$12,IF($B$222="方管",$AA$5:$AA$12,IF($B$222="H型钢",$J$17:$J$26,IF($B$222="多棱管",$J$30:$J$31,IF($B$222="自定义",$AA$17:$AA$26,IF($B$222="几型钢",$AA$30:$AA$31))))))</formula1>
    </dataValidation>
    <dataValidation type="list" allowBlank="1" showInputMessage="1" showErrorMessage="1" sqref="K5:K12 K17:K24 K30:K35 AB5:AB12 AB17:AB24 AB30:AB35" xr:uid="{00000000-0002-0000-0200-00000A000000}">
      <formula1>"Q235B,Q355B,Q420B"</formula1>
    </dataValidation>
    <dataValidation type="list" allowBlank="1" showInputMessage="1" showErrorMessage="1" sqref="L30:L35" xr:uid="{00000000-0002-0000-0200-00000B000000}">
      <formula1>"8边,6边"</formula1>
    </dataValidation>
  </dataValidations>
  <pageMargins left="0.24" right="0.23622047244094499" top="0.37" bottom="0.53" header="0.4" footer="0.17"/>
  <pageSetup paperSize="9" orientation="portrait"/>
  <headerFooter>
    <oddFooter>&amp;C第 &amp;P 页，共 &amp;N 页</oddFooter>
  </headerFooter>
  <ignoredErrors>
    <ignoredError sqref="B200:C200" unlocked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B400"/>
  <sheetViews>
    <sheetView showGridLines="0" topLeftCell="A76" workbookViewId="0">
      <selection activeCell="H93" sqref="H93"/>
    </sheetView>
  </sheetViews>
  <sheetFormatPr defaultColWidth="11.25" defaultRowHeight="26.1" customHeight="1"/>
  <cols>
    <col min="1" max="1" width="32.375" style="263" customWidth="1"/>
    <col min="2" max="2" width="12.625" style="263" customWidth="1"/>
    <col min="3" max="6" width="8.625" style="263" customWidth="1"/>
    <col min="7" max="7" width="10.125" style="263" customWidth="1"/>
    <col min="8" max="8" width="7.25" style="263" customWidth="1"/>
    <col min="9" max="9" width="11.125" style="263" customWidth="1"/>
    <col min="10" max="10" width="15.5" style="263" customWidth="1"/>
    <col min="11" max="12" width="8.125" style="263" customWidth="1"/>
    <col min="13" max="13" width="11" style="263" customWidth="1"/>
    <col min="14" max="14" width="11.75" style="263" customWidth="1"/>
    <col min="15" max="15" width="8.125" style="263" customWidth="1"/>
    <col min="16" max="17" width="8.125" style="263" hidden="1" customWidth="1"/>
    <col min="18" max="18" width="8.125" style="264" hidden="1" customWidth="1"/>
    <col min="19" max="25" width="8.125" style="263" hidden="1" customWidth="1"/>
    <col min="26" max="26" width="8.125" style="264" customWidth="1"/>
    <col min="27" max="27" width="12" style="263" customWidth="1"/>
    <col min="28" max="32" width="8.125" style="263" customWidth="1"/>
    <col min="33" max="33" width="8.125" style="263" hidden="1" customWidth="1"/>
    <col min="34" max="34" width="10.375" style="263" hidden="1" customWidth="1"/>
    <col min="35" max="43" width="8.125" style="263" hidden="1" customWidth="1"/>
    <col min="44" max="80" width="11.25" style="263" hidden="1" customWidth="1"/>
    <col min="81" max="16384" width="11.25" style="263"/>
  </cols>
  <sheetData>
    <row r="1" spans="1:69" ht="37.5" customHeight="1">
      <c r="A1" s="362" t="s">
        <v>64</v>
      </c>
      <c r="B1" s="362"/>
      <c r="C1" s="362"/>
      <c r="D1" s="362"/>
      <c r="E1" s="362"/>
      <c r="F1" s="362"/>
      <c r="G1" s="362"/>
      <c r="H1" s="362"/>
      <c r="I1" s="265"/>
      <c r="J1" s="385" t="s">
        <v>337</v>
      </c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263">
        <v>7</v>
      </c>
      <c r="AH1" s="263">
        <v>8</v>
      </c>
      <c r="AI1" s="263">
        <v>9</v>
      </c>
      <c r="AJ1" s="263">
        <v>10</v>
      </c>
      <c r="AK1" s="263">
        <v>11</v>
      </c>
      <c r="AL1" s="263">
        <v>12</v>
      </c>
      <c r="AM1" s="263">
        <v>13</v>
      </c>
      <c r="AN1" s="263">
        <v>14</v>
      </c>
      <c r="AO1" s="263">
        <v>15</v>
      </c>
      <c r="AP1" s="263">
        <v>16</v>
      </c>
      <c r="AQ1" s="263">
        <v>17</v>
      </c>
      <c r="AR1" s="263">
        <v>18</v>
      </c>
      <c r="AS1" s="263">
        <v>19</v>
      </c>
      <c r="AT1" s="263">
        <v>20</v>
      </c>
      <c r="AU1" s="263">
        <v>21</v>
      </c>
      <c r="AV1" s="263">
        <v>22</v>
      </c>
    </row>
    <row r="2" spans="1:69" ht="26.1" customHeight="1">
      <c r="A2" s="265"/>
      <c r="B2" s="265"/>
      <c r="C2" s="265"/>
      <c r="D2" s="265"/>
      <c r="E2" s="265"/>
      <c r="F2" s="265"/>
      <c r="G2" s="265"/>
      <c r="H2" s="265"/>
      <c r="I2" s="265"/>
      <c r="J2" s="263">
        <v>1</v>
      </c>
      <c r="K2" s="263">
        <v>2</v>
      </c>
      <c r="L2" s="263">
        <v>3</v>
      </c>
      <c r="M2" s="263">
        <v>4</v>
      </c>
      <c r="N2" s="263">
        <v>5</v>
      </c>
      <c r="O2" s="263">
        <v>6</v>
      </c>
      <c r="P2" s="263">
        <v>7</v>
      </c>
      <c r="Q2" s="263">
        <v>8</v>
      </c>
      <c r="R2" s="264">
        <v>9</v>
      </c>
      <c r="S2" s="263">
        <v>10</v>
      </c>
      <c r="T2" s="263">
        <v>11</v>
      </c>
      <c r="U2" s="263">
        <v>12</v>
      </c>
      <c r="V2" s="263">
        <v>13</v>
      </c>
      <c r="W2" s="263">
        <v>14</v>
      </c>
      <c r="X2" s="263">
        <v>15</v>
      </c>
      <c r="Y2" s="263">
        <v>16</v>
      </c>
      <c r="Z2" s="264">
        <v>17</v>
      </c>
      <c r="AA2" s="263">
        <v>1</v>
      </c>
      <c r="AB2" s="263">
        <v>2</v>
      </c>
      <c r="AC2" s="263">
        <v>3</v>
      </c>
      <c r="AD2" s="263">
        <v>4</v>
      </c>
      <c r="AE2" s="263">
        <v>5</v>
      </c>
      <c r="AF2" s="263">
        <v>6</v>
      </c>
    </row>
    <row r="3" spans="1:69" ht="26.1" customHeight="1">
      <c r="A3" s="266" t="s">
        <v>66</v>
      </c>
      <c r="J3" s="263" t="s">
        <v>67</v>
      </c>
      <c r="K3" s="263" t="s">
        <v>68</v>
      </c>
      <c r="AA3" s="263" t="s">
        <v>69</v>
      </c>
      <c r="AB3" s="263" t="s">
        <v>68</v>
      </c>
      <c r="AM3" s="269"/>
      <c r="AN3" s="269"/>
      <c r="AO3" s="269"/>
      <c r="AP3" s="269"/>
    </row>
    <row r="4" spans="1:69" ht="26.1" customHeight="1">
      <c r="A4" s="267" t="s">
        <v>338</v>
      </c>
      <c r="B4" s="268">
        <v>0.3</v>
      </c>
      <c r="C4" s="271" t="s">
        <v>339</v>
      </c>
      <c r="AM4" s="269"/>
      <c r="AN4" s="269"/>
      <c r="AO4" s="269"/>
      <c r="AP4" s="269"/>
    </row>
    <row r="5" spans="1:69" ht="26.1" customHeight="1">
      <c r="A5" s="267" t="s">
        <v>70</v>
      </c>
      <c r="B5" s="268">
        <v>14</v>
      </c>
      <c r="C5" s="269" t="s">
        <v>17</v>
      </c>
      <c r="E5" s="263" t="s">
        <v>71</v>
      </c>
      <c r="F5" s="270">
        <v>1</v>
      </c>
      <c r="J5" s="288" t="s">
        <v>72</v>
      </c>
      <c r="K5" s="288" t="s">
        <v>73</v>
      </c>
      <c r="L5" s="288" t="s">
        <v>74</v>
      </c>
      <c r="M5" s="288" t="s">
        <v>75</v>
      </c>
      <c r="P5" s="263" t="s">
        <v>76</v>
      </c>
      <c r="Q5" s="263" t="s">
        <v>77</v>
      </c>
      <c r="R5" s="264" t="s">
        <v>78</v>
      </c>
      <c r="S5" s="263" t="s">
        <v>79</v>
      </c>
      <c r="T5" s="263" t="s">
        <v>80</v>
      </c>
      <c r="U5" s="263" t="s">
        <v>81</v>
      </c>
      <c r="V5" s="263" t="s">
        <v>82</v>
      </c>
      <c r="AA5" s="288" t="s">
        <v>72</v>
      </c>
      <c r="AB5" s="288" t="s">
        <v>73</v>
      </c>
      <c r="AC5" s="288" t="s">
        <v>83</v>
      </c>
      <c r="AD5" s="288" t="s">
        <v>84</v>
      </c>
      <c r="AE5" s="288" t="s">
        <v>75</v>
      </c>
      <c r="AF5" s="288" t="s">
        <v>85</v>
      </c>
      <c r="AK5" s="263" t="s">
        <v>76</v>
      </c>
      <c r="AL5" s="263" t="s">
        <v>77</v>
      </c>
      <c r="AM5" s="263" t="s">
        <v>78</v>
      </c>
      <c r="AN5" s="263" t="s">
        <v>79</v>
      </c>
      <c r="AO5" s="263" t="s">
        <v>80</v>
      </c>
      <c r="AP5" s="263" t="s">
        <v>81</v>
      </c>
      <c r="AQ5" s="263" t="s">
        <v>86</v>
      </c>
      <c r="AR5" s="263" t="s">
        <v>87</v>
      </c>
      <c r="AS5" s="263" t="s">
        <v>88</v>
      </c>
      <c r="AT5" s="263" t="s">
        <v>89</v>
      </c>
      <c r="AU5" s="263" t="s">
        <v>90</v>
      </c>
      <c r="AV5" s="263" t="s">
        <v>91</v>
      </c>
    </row>
    <row r="6" spans="1:69" ht="26.1" customHeight="1">
      <c r="A6" s="267" t="s">
        <v>92</v>
      </c>
      <c r="B6" s="268">
        <v>22.26</v>
      </c>
      <c r="C6" s="269" t="s">
        <v>17</v>
      </c>
      <c r="J6" s="272" t="str">
        <f t="shared" ref="J6:J13" si="0">IF(L6="","","φ"&amp;L6&amp;"*"&amp;M6)</f>
        <v>φ140*3</v>
      </c>
      <c r="K6" s="270" t="s">
        <v>93</v>
      </c>
      <c r="L6" s="270">
        <v>140</v>
      </c>
      <c r="M6" s="270">
        <v>3</v>
      </c>
      <c r="P6" s="263">
        <f>ROUND(Q6*1000*0.00000785*10/1000,4)</f>
        <v>0.1014</v>
      </c>
      <c r="Q6" s="263">
        <f t="shared" ref="Q6:Q13" si="1">ROUND((L6^2-(L6-2*M6)^2)*PI()/4,2)</f>
        <v>1291.19</v>
      </c>
      <c r="R6" s="264">
        <f t="shared" ref="R6:R13" si="2">ROUND((L6^4-(L6-2*M6)^4)*PI()/64,2)</f>
        <v>3030756.48</v>
      </c>
      <c r="S6" s="263">
        <f t="shared" ref="S6:S13" si="3">ROUND((L6^4-(L6-2*M6)^4)*PI()/64,2)</f>
        <v>3030756.48</v>
      </c>
      <c r="T6" s="263">
        <f t="shared" ref="T6:T13" si="4">ROUND(PI()*L6^3*(1-((L6-2*M6)/L6)^4)/32,2)</f>
        <v>43296.52</v>
      </c>
      <c r="U6" s="263">
        <f t="shared" ref="U6:U13" si="5">ROUND(PI()*L6^3*(1-((L6-2*M6)/L6)^4)/32,2)</f>
        <v>43296.52</v>
      </c>
      <c r="V6" s="263">
        <f t="shared" ref="V6:V13" si="6">L6/1000*$B$215</f>
        <v>0.14000000000000001</v>
      </c>
      <c r="AA6" s="272" t="str">
        <f t="shared" ref="AA6:AA13" si="7">IF(AC6="","","F"&amp;AC6&amp;"*"&amp;AD6&amp;"*"&amp;AE6)</f>
        <v>F120*120*3</v>
      </c>
      <c r="AB6" s="270" t="s">
        <v>93</v>
      </c>
      <c r="AC6" s="270">
        <v>120</v>
      </c>
      <c r="AD6" s="270">
        <v>120</v>
      </c>
      <c r="AE6" s="270">
        <v>3</v>
      </c>
      <c r="AF6" s="270">
        <v>3</v>
      </c>
      <c r="AK6" s="263">
        <f>ROUND(AL6*1000*0.00000785*10/1000,4)</f>
        <v>0.11020000000000001</v>
      </c>
      <c r="AL6" s="263">
        <f t="shared" ref="AL6:AL13" si="8">AC6*AD6-(AC6-2*AE6)*(AD6-2*AE6)</f>
        <v>1404</v>
      </c>
      <c r="AM6" s="263">
        <f t="shared" ref="AM6:AM13" si="9">ROUND((AD6*AC6^3-(AD6-2*AE6)*(AC6-2*AE6)^3)/12,2)</f>
        <v>3205332</v>
      </c>
      <c r="AN6" s="263">
        <f t="shared" ref="AN6:AN13" si="10">ROUND((AD6^3*AC6-(AD6-2*AE6)^3*(AC6-2*AE6))/12,2)</f>
        <v>3205332</v>
      </c>
      <c r="AO6" s="263">
        <f t="shared" ref="AO6:AO13" si="11">ROUND((AD6*AC6^3-(AD6-2*AE6)*(AC6-2*AE6)^3)/6/AC6,2)</f>
        <v>53422.2</v>
      </c>
      <c r="AP6" s="263">
        <f t="shared" ref="AP6:AP13" si="12">ROUND((AD6^3*AC6-(AD6-2*AE6)^3*(AC6-2*AE6))/6/AD6,2)</f>
        <v>53422.2</v>
      </c>
      <c r="AQ6" s="263">
        <f>0.563/(AC6-AE6)/AE6</f>
        <v>1.6039886039886E-3</v>
      </c>
      <c r="AR6" s="263">
        <f>0.5*AC6/AE6/(AC6-AE6)^3</f>
        <v>1.2487411128655901E-5</v>
      </c>
      <c r="AS6" s="263" t="str">
        <f>MID(AB6,2,3)</f>
        <v>355</v>
      </c>
      <c r="AT6" s="263">
        <f>(AC6-AE6*2-AF6*2)/AE6</f>
        <v>36</v>
      </c>
      <c r="AU6" s="263">
        <f>ROUND(IF(AT6&lt;660/SQRT(AS6/1.111),AS6/1.111,(1-(SQRT((AS6/1.111))*AT6)*0.000448)*1.42*((AS6/1.111))),0)</f>
        <v>320</v>
      </c>
      <c r="AV6" s="263">
        <f t="shared" ref="AV6:AV13" si="13">AD6/1000*$B$215</f>
        <v>0.12</v>
      </c>
    </row>
    <row r="7" spans="1:69" ht="26.1" customHeight="1">
      <c r="A7" s="267" t="s">
        <v>94</v>
      </c>
      <c r="B7" s="268">
        <v>64</v>
      </c>
      <c r="C7" s="271" t="s">
        <v>95</v>
      </c>
      <c r="J7" s="272" t="str">
        <f t="shared" si="0"/>
        <v>φ150*5</v>
      </c>
      <c r="K7" s="270" t="s">
        <v>93</v>
      </c>
      <c r="L7" s="270">
        <v>150</v>
      </c>
      <c r="M7" s="270">
        <v>5</v>
      </c>
      <c r="P7" s="263">
        <f t="shared" ref="P7:P13" si="14">ROUND(Q7*1000*0.00000785*10/1000,4)</f>
        <v>0.17879999999999999</v>
      </c>
      <c r="Q7" s="263">
        <f t="shared" si="1"/>
        <v>2277.65</v>
      </c>
      <c r="R7" s="264">
        <f t="shared" si="2"/>
        <v>5993078.8600000003</v>
      </c>
      <c r="S7" s="263">
        <f t="shared" si="3"/>
        <v>5993078.8600000003</v>
      </c>
      <c r="T7" s="263">
        <f t="shared" si="4"/>
        <v>79907.72</v>
      </c>
      <c r="U7" s="263">
        <f t="shared" si="5"/>
        <v>79907.72</v>
      </c>
      <c r="V7" s="263">
        <f t="shared" si="6"/>
        <v>0.15</v>
      </c>
      <c r="AA7" s="272" t="str">
        <f t="shared" si="7"/>
        <v>F140*140*5</v>
      </c>
      <c r="AB7" s="270" t="s">
        <v>96</v>
      </c>
      <c r="AC7" s="270">
        <v>140</v>
      </c>
      <c r="AD7" s="270">
        <v>140</v>
      </c>
      <c r="AE7" s="270">
        <v>5</v>
      </c>
      <c r="AF7" s="270">
        <v>6</v>
      </c>
      <c r="AK7" s="263">
        <f t="shared" ref="AK7:AK13" si="15">ROUND(AL7*1000*0.00000785*10/1000,4)</f>
        <v>0.21199999999999999</v>
      </c>
      <c r="AL7" s="263">
        <f t="shared" si="8"/>
        <v>2700</v>
      </c>
      <c r="AM7" s="263">
        <f t="shared" si="9"/>
        <v>8212500</v>
      </c>
      <c r="AN7" s="263">
        <f t="shared" si="10"/>
        <v>8212500</v>
      </c>
      <c r="AO7" s="263">
        <f t="shared" si="11"/>
        <v>117321.43</v>
      </c>
      <c r="AP7" s="263">
        <f t="shared" si="12"/>
        <v>117321.43</v>
      </c>
      <c r="AQ7" s="263">
        <f t="shared" ref="AQ7:AQ13" si="16">0.563/(AC7-AE7)/AE7</f>
        <v>8.3407407407407399E-4</v>
      </c>
      <c r="AR7" s="263">
        <f t="shared" ref="AR7:AR13" si="17">0.5*AC7/AE7/(AC7-AE7)^3</f>
        <v>5.6901895036325802E-6</v>
      </c>
      <c r="AS7" s="263" t="str">
        <f t="shared" ref="AS7:AS13" si="18">MID(AB7,2,3)</f>
        <v>420</v>
      </c>
      <c r="AT7" s="263">
        <f t="shared" ref="AT7:AT13" si="19">(AC7-AE7*2-AF7*2)/AE7</f>
        <v>23.6</v>
      </c>
      <c r="AU7" s="263">
        <f t="shared" ref="AU7:AU13" si="20">ROUND(IF(AT7&lt;660/SQRT(AS7/1.111),AS7/1.111,(1-(SQRT((AS7/1.111))*AT7)*0.000448)*1.42*((AS7/1.111))),0)</f>
        <v>378</v>
      </c>
      <c r="AV7" s="263">
        <f t="shared" si="13"/>
        <v>0.14000000000000001</v>
      </c>
    </row>
    <row r="8" spans="1:69" ht="26.1" customHeight="1">
      <c r="A8" s="267" t="s">
        <v>97</v>
      </c>
      <c r="B8" s="268">
        <v>1.133</v>
      </c>
      <c r="C8" s="271" t="s">
        <v>36</v>
      </c>
      <c r="J8" s="272" t="str">
        <f t="shared" si="0"/>
        <v/>
      </c>
      <c r="K8" s="270"/>
      <c r="L8" s="270"/>
      <c r="M8" s="270"/>
      <c r="P8" s="263">
        <f t="shared" si="14"/>
        <v>0</v>
      </c>
      <c r="Q8" s="263">
        <f t="shared" si="1"/>
        <v>0</v>
      </c>
      <c r="R8" s="264">
        <f t="shared" si="2"/>
        <v>0</v>
      </c>
      <c r="S8" s="263">
        <f t="shared" si="3"/>
        <v>0</v>
      </c>
      <c r="T8" s="263" t="e">
        <f t="shared" si="4"/>
        <v>#DIV/0!</v>
      </c>
      <c r="U8" s="263" t="e">
        <f t="shared" si="5"/>
        <v>#DIV/0!</v>
      </c>
      <c r="V8" s="263">
        <f t="shared" si="6"/>
        <v>0</v>
      </c>
      <c r="AA8" s="272" t="str">
        <f t="shared" si="7"/>
        <v>F130*130*3</v>
      </c>
      <c r="AB8" s="270" t="s">
        <v>96</v>
      </c>
      <c r="AC8" s="270">
        <v>130</v>
      </c>
      <c r="AD8" s="270">
        <v>130</v>
      </c>
      <c r="AE8" s="270">
        <v>3</v>
      </c>
      <c r="AF8" s="270">
        <v>3</v>
      </c>
      <c r="AK8" s="263">
        <f t="shared" si="15"/>
        <v>0.1196</v>
      </c>
      <c r="AL8" s="263">
        <f t="shared" si="8"/>
        <v>1524</v>
      </c>
      <c r="AM8" s="263">
        <f t="shared" si="9"/>
        <v>4099052</v>
      </c>
      <c r="AN8" s="263">
        <f t="shared" si="10"/>
        <v>4099052</v>
      </c>
      <c r="AO8" s="263">
        <f t="shared" si="11"/>
        <v>63062.34</v>
      </c>
      <c r="AP8" s="263">
        <f t="shared" si="12"/>
        <v>63062.34</v>
      </c>
      <c r="AQ8" s="263">
        <f t="shared" si="16"/>
        <v>1.47769028871391E-3</v>
      </c>
      <c r="AR8" s="263">
        <f t="shared" si="17"/>
        <v>1.0577448976420301E-5</v>
      </c>
      <c r="AS8" s="263" t="str">
        <f t="shared" si="18"/>
        <v>420</v>
      </c>
      <c r="AT8" s="263">
        <f t="shared" si="19"/>
        <v>39.3333333333333</v>
      </c>
      <c r="AU8" s="263">
        <f t="shared" si="20"/>
        <v>353</v>
      </c>
      <c r="AV8" s="263">
        <f t="shared" si="13"/>
        <v>0.13</v>
      </c>
    </row>
    <row r="9" spans="1:69" ht="26.1" customHeight="1">
      <c r="A9" s="267" t="s">
        <v>98</v>
      </c>
      <c r="B9" s="268">
        <v>4.5119999999999996</v>
      </c>
      <c r="C9" s="271" t="s">
        <v>36</v>
      </c>
      <c r="J9" s="272" t="str">
        <f t="shared" si="0"/>
        <v/>
      </c>
      <c r="K9" s="270"/>
      <c r="L9" s="270"/>
      <c r="M9" s="270"/>
      <c r="P9" s="263">
        <f t="shared" si="14"/>
        <v>0</v>
      </c>
      <c r="Q9" s="263">
        <f t="shared" si="1"/>
        <v>0</v>
      </c>
      <c r="R9" s="264">
        <f t="shared" si="2"/>
        <v>0</v>
      </c>
      <c r="S9" s="263">
        <f t="shared" si="3"/>
        <v>0</v>
      </c>
      <c r="T9" s="263" t="e">
        <f t="shared" si="4"/>
        <v>#DIV/0!</v>
      </c>
      <c r="U9" s="263" t="e">
        <f t="shared" si="5"/>
        <v>#DIV/0!</v>
      </c>
      <c r="V9" s="263">
        <f t="shared" si="6"/>
        <v>0</v>
      </c>
      <c r="AA9" s="272" t="str">
        <f t="shared" si="7"/>
        <v>F130*130*2.75</v>
      </c>
      <c r="AB9" s="270" t="s">
        <v>93</v>
      </c>
      <c r="AC9" s="270">
        <v>130</v>
      </c>
      <c r="AD9" s="270">
        <v>130</v>
      </c>
      <c r="AE9" s="270">
        <v>2.75</v>
      </c>
      <c r="AF9" s="270">
        <v>3</v>
      </c>
      <c r="AK9" s="263">
        <f t="shared" si="15"/>
        <v>0.1099</v>
      </c>
      <c r="AL9" s="263">
        <f t="shared" si="8"/>
        <v>1399.75</v>
      </c>
      <c r="AM9" s="263">
        <f t="shared" si="9"/>
        <v>3779354.16</v>
      </c>
      <c r="AN9" s="263">
        <f t="shared" si="10"/>
        <v>3779354.16</v>
      </c>
      <c r="AO9" s="263">
        <f t="shared" si="11"/>
        <v>58143.91</v>
      </c>
      <c r="AP9" s="263">
        <f t="shared" si="12"/>
        <v>58143.91</v>
      </c>
      <c r="AQ9" s="263">
        <f t="shared" si="16"/>
        <v>1.6088587247722801E-3</v>
      </c>
      <c r="AR9" s="263">
        <f t="shared" si="17"/>
        <v>1.1471158743568901E-5</v>
      </c>
      <c r="AS9" s="263" t="str">
        <f t="shared" si="18"/>
        <v>355</v>
      </c>
      <c r="AT9" s="263">
        <f t="shared" si="19"/>
        <v>43.090909090909101</v>
      </c>
      <c r="AU9" s="263">
        <f t="shared" si="20"/>
        <v>297</v>
      </c>
      <c r="AV9" s="263">
        <f t="shared" si="13"/>
        <v>0.13</v>
      </c>
    </row>
    <row r="10" spans="1:69" ht="26.1" customHeight="1">
      <c r="A10" s="267" t="s">
        <v>99</v>
      </c>
      <c r="B10" s="272">
        <f>B8*B9</f>
        <v>5.1120960000000002</v>
      </c>
      <c r="C10" s="271" t="s">
        <v>100</v>
      </c>
      <c r="J10" s="272" t="str">
        <f t="shared" si="0"/>
        <v/>
      </c>
      <c r="K10" s="270"/>
      <c r="L10" s="270"/>
      <c r="M10" s="270"/>
      <c r="P10" s="263">
        <f t="shared" si="14"/>
        <v>0</v>
      </c>
      <c r="Q10" s="263">
        <f t="shared" si="1"/>
        <v>0</v>
      </c>
      <c r="R10" s="264">
        <f t="shared" si="2"/>
        <v>0</v>
      </c>
      <c r="S10" s="263">
        <f t="shared" si="3"/>
        <v>0</v>
      </c>
      <c r="T10" s="263" t="e">
        <f t="shared" si="4"/>
        <v>#DIV/0!</v>
      </c>
      <c r="U10" s="263" t="e">
        <f t="shared" si="5"/>
        <v>#DIV/0!</v>
      </c>
      <c r="V10" s="263">
        <f t="shared" si="6"/>
        <v>0</v>
      </c>
      <c r="AA10" s="272" t="str">
        <f t="shared" si="7"/>
        <v>F140*140*2.5</v>
      </c>
      <c r="AB10" s="270" t="s">
        <v>96</v>
      </c>
      <c r="AC10" s="270">
        <v>140</v>
      </c>
      <c r="AD10" s="270">
        <v>140</v>
      </c>
      <c r="AE10" s="270">
        <v>2.5</v>
      </c>
      <c r="AF10" s="270">
        <v>3</v>
      </c>
      <c r="AK10" s="263">
        <f t="shared" si="15"/>
        <v>0.1079</v>
      </c>
      <c r="AL10" s="263">
        <f t="shared" si="8"/>
        <v>1375</v>
      </c>
      <c r="AM10" s="263">
        <f t="shared" si="9"/>
        <v>4334114.58</v>
      </c>
      <c r="AN10" s="263">
        <f t="shared" si="10"/>
        <v>4334114.58</v>
      </c>
      <c r="AO10" s="263">
        <f t="shared" si="11"/>
        <v>61915.92</v>
      </c>
      <c r="AP10" s="263">
        <f t="shared" si="12"/>
        <v>61915.92</v>
      </c>
      <c r="AQ10" s="263">
        <f t="shared" si="16"/>
        <v>1.63781818181818E-3</v>
      </c>
      <c r="AR10" s="263">
        <f t="shared" si="17"/>
        <v>1.0770848985725E-5</v>
      </c>
      <c r="AS10" s="263" t="str">
        <f t="shared" si="18"/>
        <v>420</v>
      </c>
      <c r="AT10" s="263">
        <f t="shared" si="19"/>
        <v>51.6</v>
      </c>
      <c r="AU10" s="263">
        <f t="shared" si="20"/>
        <v>296</v>
      </c>
      <c r="AV10" s="263">
        <f t="shared" si="13"/>
        <v>0.14000000000000001</v>
      </c>
    </row>
    <row r="11" spans="1:69" ht="26.1" customHeight="1">
      <c r="A11" s="266" t="s">
        <v>101</v>
      </c>
      <c r="B11" s="271"/>
      <c r="C11" s="271"/>
      <c r="J11" s="272" t="str">
        <f t="shared" si="0"/>
        <v/>
      </c>
      <c r="K11" s="270"/>
      <c r="L11" s="270"/>
      <c r="M11" s="270"/>
      <c r="P11" s="263">
        <f t="shared" si="14"/>
        <v>0</v>
      </c>
      <c r="Q11" s="263">
        <f t="shared" si="1"/>
        <v>0</v>
      </c>
      <c r="R11" s="264">
        <f t="shared" si="2"/>
        <v>0</v>
      </c>
      <c r="S11" s="263">
        <f t="shared" si="3"/>
        <v>0</v>
      </c>
      <c r="T11" s="263" t="e">
        <f t="shared" si="4"/>
        <v>#DIV/0!</v>
      </c>
      <c r="U11" s="263" t="e">
        <f t="shared" si="5"/>
        <v>#DIV/0!</v>
      </c>
      <c r="V11" s="263">
        <f t="shared" si="6"/>
        <v>0</v>
      </c>
      <c r="AA11" s="272" t="str">
        <f t="shared" si="7"/>
        <v>F140*140*3</v>
      </c>
      <c r="AB11" s="270" t="s">
        <v>96</v>
      </c>
      <c r="AC11" s="270">
        <v>140</v>
      </c>
      <c r="AD11" s="270">
        <v>140</v>
      </c>
      <c r="AE11" s="270">
        <v>3</v>
      </c>
      <c r="AF11" s="270">
        <v>3</v>
      </c>
      <c r="AK11" s="263">
        <f t="shared" si="15"/>
        <v>0.12909999999999999</v>
      </c>
      <c r="AL11" s="263">
        <f t="shared" si="8"/>
        <v>1644</v>
      </c>
      <c r="AM11" s="263">
        <f t="shared" si="9"/>
        <v>5145172</v>
      </c>
      <c r="AN11" s="263">
        <f t="shared" si="10"/>
        <v>5145172</v>
      </c>
      <c r="AO11" s="263">
        <f t="shared" si="11"/>
        <v>73502.460000000006</v>
      </c>
      <c r="AP11" s="263">
        <f t="shared" si="12"/>
        <v>73502.460000000006</v>
      </c>
      <c r="AQ11" s="263">
        <f t="shared" si="16"/>
        <v>1.3698296836982999E-3</v>
      </c>
      <c r="AR11" s="263">
        <f t="shared" si="17"/>
        <v>9.0743407588663804E-6</v>
      </c>
      <c r="AS11" s="263" t="str">
        <f t="shared" si="18"/>
        <v>420</v>
      </c>
      <c r="AT11" s="263">
        <f t="shared" si="19"/>
        <v>42.6666666666667</v>
      </c>
      <c r="AU11" s="263">
        <f t="shared" si="20"/>
        <v>337</v>
      </c>
      <c r="AV11" s="263">
        <f t="shared" si="13"/>
        <v>0.14000000000000001</v>
      </c>
    </row>
    <row r="12" spans="1:69" ht="26.1" customHeight="1">
      <c r="A12" s="291" t="s">
        <v>102</v>
      </c>
      <c r="C12" s="271"/>
      <c r="J12" s="272" t="str">
        <f t="shared" si="0"/>
        <v/>
      </c>
      <c r="K12" s="270"/>
      <c r="L12" s="270"/>
      <c r="M12" s="270"/>
      <c r="P12" s="263">
        <f t="shared" si="14"/>
        <v>0</v>
      </c>
      <c r="Q12" s="263">
        <f t="shared" si="1"/>
        <v>0</v>
      </c>
      <c r="R12" s="264">
        <f t="shared" si="2"/>
        <v>0</v>
      </c>
      <c r="S12" s="263">
        <f t="shared" si="3"/>
        <v>0</v>
      </c>
      <c r="T12" s="263" t="e">
        <f t="shared" si="4"/>
        <v>#DIV/0!</v>
      </c>
      <c r="U12" s="263" t="e">
        <f t="shared" si="5"/>
        <v>#DIV/0!</v>
      </c>
      <c r="V12" s="263">
        <f t="shared" si="6"/>
        <v>0</v>
      </c>
      <c r="AA12" s="272" t="str">
        <f t="shared" si="7"/>
        <v>F150*150*3</v>
      </c>
      <c r="AB12" s="270" t="s">
        <v>96</v>
      </c>
      <c r="AC12" s="270">
        <v>150</v>
      </c>
      <c r="AD12" s="270">
        <v>150</v>
      </c>
      <c r="AE12" s="270">
        <v>3</v>
      </c>
      <c r="AF12" s="270">
        <v>3</v>
      </c>
      <c r="AK12" s="263">
        <f t="shared" si="15"/>
        <v>0.13850000000000001</v>
      </c>
      <c r="AL12" s="263">
        <f t="shared" si="8"/>
        <v>1764</v>
      </c>
      <c r="AM12" s="263">
        <f t="shared" si="9"/>
        <v>6355692</v>
      </c>
      <c r="AN12" s="263">
        <f t="shared" si="10"/>
        <v>6355692</v>
      </c>
      <c r="AO12" s="263">
        <f t="shared" si="11"/>
        <v>84742.56</v>
      </c>
      <c r="AP12" s="263">
        <f t="shared" si="12"/>
        <v>84742.56</v>
      </c>
      <c r="AQ12" s="263">
        <f t="shared" si="16"/>
        <v>1.2766439909297101E-3</v>
      </c>
      <c r="AR12" s="263">
        <f t="shared" si="17"/>
        <v>7.8702405114019296E-6</v>
      </c>
      <c r="AS12" s="263" t="str">
        <f t="shared" si="18"/>
        <v>420</v>
      </c>
      <c r="AT12" s="263">
        <f t="shared" si="19"/>
        <v>46</v>
      </c>
      <c r="AU12" s="263">
        <f t="shared" si="20"/>
        <v>322</v>
      </c>
      <c r="AV12" s="263">
        <f t="shared" si="13"/>
        <v>0.15</v>
      </c>
    </row>
    <row r="13" spans="1:69" ht="26.1" customHeight="1">
      <c r="A13" s="267" t="s">
        <v>103</v>
      </c>
      <c r="B13" s="268" t="s">
        <v>104</v>
      </c>
      <c r="J13" s="272" t="str">
        <f t="shared" si="0"/>
        <v/>
      </c>
      <c r="K13" s="270"/>
      <c r="L13" s="270"/>
      <c r="M13" s="270"/>
      <c r="P13" s="263">
        <f t="shared" si="14"/>
        <v>0</v>
      </c>
      <c r="Q13" s="263">
        <f t="shared" si="1"/>
        <v>0</v>
      </c>
      <c r="R13" s="264">
        <f t="shared" si="2"/>
        <v>0</v>
      </c>
      <c r="S13" s="263">
        <f t="shared" si="3"/>
        <v>0</v>
      </c>
      <c r="T13" s="263" t="e">
        <f t="shared" si="4"/>
        <v>#DIV/0!</v>
      </c>
      <c r="U13" s="263" t="e">
        <f t="shared" si="5"/>
        <v>#DIV/0!</v>
      </c>
      <c r="V13" s="263">
        <f t="shared" si="6"/>
        <v>0</v>
      </c>
      <c r="AA13" s="272" t="str">
        <f t="shared" si="7"/>
        <v/>
      </c>
      <c r="AB13" s="270"/>
      <c r="AC13" s="270"/>
      <c r="AD13" s="270"/>
      <c r="AE13" s="270"/>
      <c r="AF13" s="270"/>
      <c r="AK13" s="263">
        <f t="shared" si="15"/>
        <v>0</v>
      </c>
      <c r="AL13" s="263">
        <f t="shared" si="8"/>
        <v>0</v>
      </c>
      <c r="AM13" s="263">
        <f t="shared" si="9"/>
        <v>0</v>
      </c>
      <c r="AN13" s="263">
        <f t="shared" si="10"/>
        <v>0</v>
      </c>
      <c r="AO13" s="263" t="e">
        <f t="shared" si="11"/>
        <v>#DIV/0!</v>
      </c>
      <c r="AP13" s="263" t="e">
        <f t="shared" si="12"/>
        <v>#DIV/0!</v>
      </c>
      <c r="AQ13" s="263" t="e">
        <f t="shared" si="16"/>
        <v>#DIV/0!</v>
      </c>
      <c r="AR13" s="263" t="e">
        <f t="shared" si="17"/>
        <v>#DIV/0!</v>
      </c>
      <c r="AS13" s="263" t="str">
        <f t="shared" si="18"/>
        <v/>
      </c>
      <c r="AT13" s="263" t="e">
        <f t="shared" si="19"/>
        <v>#DIV/0!</v>
      </c>
      <c r="AU13" s="263" t="e">
        <f t="shared" si="20"/>
        <v>#DIV/0!</v>
      </c>
      <c r="AV13" s="263">
        <f t="shared" si="13"/>
        <v>0</v>
      </c>
    </row>
    <row r="14" spans="1:69" ht="26.1" customHeight="1">
      <c r="A14" s="267" t="s">
        <v>105</v>
      </c>
      <c r="B14" s="268" t="s">
        <v>340</v>
      </c>
      <c r="C14" s="271"/>
      <c r="AA14" s="263">
        <v>1</v>
      </c>
      <c r="AB14" s="263">
        <v>2</v>
      </c>
      <c r="AC14" s="263">
        <v>3</v>
      </c>
      <c r="AD14" s="263">
        <v>4</v>
      </c>
      <c r="AE14" s="263">
        <v>5</v>
      </c>
      <c r="AF14" s="263">
        <v>6</v>
      </c>
      <c r="AG14" s="263">
        <v>7</v>
      </c>
      <c r="AH14" s="263">
        <v>8</v>
      </c>
      <c r="AI14" s="263">
        <v>9</v>
      </c>
      <c r="AJ14" s="263">
        <v>10</v>
      </c>
      <c r="AK14" s="263">
        <v>11</v>
      </c>
      <c r="AL14" s="263">
        <v>12</v>
      </c>
      <c r="AM14" s="263">
        <v>13</v>
      </c>
      <c r="AN14" s="263">
        <v>14</v>
      </c>
      <c r="AO14" s="263">
        <v>15</v>
      </c>
      <c r="AP14" s="263">
        <v>16</v>
      </c>
      <c r="AQ14" s="263">
        <v>17</v>
      </c>
      <c r="AR14" s="263">
        <v>18</v>
      </c>
      <c r="AS14" s="263">
        <v>19</v>
      </c>
      <c r="AT14" s="263">
        <v>20</v>
      </c>
      <c r="AU14" s="263">
        <v>21</v>
      </c>
    </row>
    <row r="15" spans="1:69" ht="26.1" customHeight="1">
      <c r="A15" s="267" t="s">
        <v>107</v>
      </c>
      <c r="B15" s="272" t="str">
        <f>IF(B13="钢管",VLOOKUP(B14,$J$6:$U$13,2,FALSE),IF(B13="方管",VLOOKUP(B14,$AA$6:$AP$13,2,FALSE),IF(B13="H型钢",VLOOKUP(B14,$J$18:$U$27,2,FALSE),IF(B13="多棱管",VLOOKUP(B14,$J$31:$U$36,2,FALSE),IF(B13="O形截面",VLOOKUP(B14,$AA$18:$AS$25,2,FALSE))))))</f>
        <v>Q420B</v>
      </c>
      <c r="C15" s="271"/>
    </row>
    <row r="16" spans="1:69" ht="26.1" customHeight="1">
      <c r="A16" s="267" t="s">
        <v>108</v>
      </c>
      <c r="B16" s="272">
        <f>IF(B13="钢管",VLOOKUP(B14,$J$6:$Z$13,17,FALSE),IF(B13="方管",VLOOKUP(B14,$AA$6:$AU$13,21,FALSE),IF(B13="H型钢",VLOOKUP(B14,$J$18:$Z$27,17,FALSE),IF(B13="多棱管",VLOOKUP(B14,$J$31:$Z$36,17,FALSE),IF(B13="O形截面",VLOOKUP(B14,$AA$18:$AV$27,21,FALSE))))))</f>
        <v>378</v>
      </c>
      <c r="C16" s="271" t="s">
        <v>109</v>
      </c>
      <c r="J16" s="263" t="s">
        <v>110</v>
      </c>
      <c r="K16" s="263" t="s">
        <v>68</v>
      </c>
      <c r="AA16" s="263" t="s">
        <v>104</v>
      </c>
      <c r="AB16" s="263" t="s">
        <v>68</v>
      </c>
      <c r="BH16" s="263" t="s">
        <v>111</v>
      </c>
      <c r="BL16" s="263" t="s">
        <v>112</v>
      </c>
      <c r="BQ16" s="263" t="s">
        <v>113</v>
      </c>
    </row>
    <row r="17" spans="1:72" ht="26.1" customHeight="1">
      <c r="A17" s="267" t="s">
        <v>114</v>
      </c>
      <c r="B17" s="272">
        <f>IF(B13="钢管",VLOOKUP(B14,$J$6:$U$13,11,FALSE),IF(B13="方管",VLOOKUP(B14,$AA$6:$AP$13,15,FALSE),IF(B13="H型钢",VLOOKUP(B14,$J$18:$U$27,11,FALSE),IF(B13="多棱管",VLOOKUP(B14,$J$31:$U$36,11,FALSE),IF(B13="O形截面",VLOOKUP(B14,$AA$18:$AU$25,15,FALSE))))))</f>
        <v>52972.689550987103</v>
      </c>
      <c r="C17" s="271" t="s">
        <v>115</v>
      </c>
      <c r="J17" s="288" t="s">
        <v>72</v>
      </c>
      <c r="K17" s="288" t="s">
        <v>73</v>
      </c>
      <c r="L17" s="288" t="s">
        <v>116</v>
      </c>
      <c r="M17" s="288" t="s">
        <v>117</v>
      </c>
      <c r="N17" s="288" t="s">
        <v>118</v>
      </c>
      <c r="O17" s="288" t="s">
        <v>119</v>
      </c>
      <c r="P17" s="263" t="s">
        <v>76</v>
      </c>
      <c r="Q17" s="263" t="s">
        <v>77</v>
      </c>
      <c r="R17" s="264" t="s">
        <v>78</v>
      </c>
      <c r="S17" s="263" t="s">
        <v>79</v>
      </c>
      <c r="T17" s="263" t="s">
        <v>80</v>
      </c>
      <c r="U17" s="263" t="s">
        <v>81</v>
      </c>
      <c r="V17" s="263" t="s">
        <v>82</v>
      </c>
      <c r="AA17" s="288" t="s">
        <v>72</v>
      </c>
      <c r="AB17" s="288" t="s">
        <v>73</v>
      </c>
      <c r="AC17" s="303" t="s">
        <v>120</v>
      </c>
      <c r="AD17" s="303" t="s">
        <v>121</v>
      </c>
      <c r="AE17" s="288" t="s">
        <v>85</v>
      </c>
      <c r="AI17" s="263" t="s">
        <v>122</v>
      </c>
      <c r="AJ17" s="263" t="s">
        <v>123</v>
      </c>
      <c r="AK17" s="263" t="s">
        <v>76</v>
      </c>
      <c r="AL17" s="263" t="s">
        <v>77</v>
      </c>
      <c r="AM17" s="263" t="s">
        <v>124</v>
      </c>
      <c r="AN17" s="263" t="s">
        <v>78</v>
      </c>
      <c r="AO17" s="263" t="s">
        <v>125</v>
      </c>
      <c r="AP17" s="263" t="s">
        <v>80</v>
      </c>
      <c r="AQ17" s="263" t="s">
        <v>86</v>
      </c>
      <c r="AR17" s="263" t="s">
        <v>87</v>
      </c>
      <c r="AS17" s="263" t="s">
        <v>88</v>
      </c>
      <c r="AT17" s="263" t="s">
        <v>89</v>
      </c>
      <c r="AU17" s="263" t="s">
        <v>90</v>
      </c>
      <c r="AV17" s="263" t="s">
        <v>126</v>
      </c>
      <c r="AW17" s="263" t="s">
        <v>127</v>
      </c>
      <c r="AX17" s="263" t="s">
        <v>128</v>
      </c>
      <c r="AY17" s="263" t="s">
        <v>129</v>
      </c>
      <c r="AZ17" s="263" t="s">
        <v>130</v>
      </c>
      <c r="BA17" s="263" t="s">
        <v>131</v>
      </c>
      <c r="BB17" s="263" t="s">
        <v>132</v>
      </c>
      <c r="BC17" s="263" t="s">
        <v>133</v>
      </c>
      <c r="BD17" s="263" t="s">
        <v>134</v>
      </c>
      <c r="BE17" s="263" t="s">
        <v>135</v>
      </c>
      <c r="BF17" s="263" t="s">
        <v>136</v>
      </c>
      <c r="BG17" s="263" t="s">
        <v>137</v>
      </c>
      <c r="BH17" s="263" t="s">
        <v>138</v>
      </c>
      <c r="BI17" s="263" t="s">
        <v>139</v>
      </c>
      <c r="BJ17" s="263" t="s">
        <v>140</v>
      </c>
      <c r="BK17" s="263" t="s">
        <v>141</v>
      </c>
      <c r="BL17" s="263" t="s">
        <v>142</v>
      </c>
      <c r="BM17" s="263" t="s">
        <v>143</v>
      </c>
      <c r="BN17" s="263" t="s">
        <v>144</v>
      </c>
      <c r="BO17" s="263" t="s">
        <v>141</v>
      </c>
      <c r="BQ17" s="263" t="s">
        <v>145</v>
      </c>
      <c r="BR17" s="263" t="s">
        <v>146</v>
      </c>
      <c r="BS17" s="263" t="s">
        <v>147</v>
      </c>
      <c r="BT17" s="263" t="s">
        <v>148</v>
      </c>
    </row>
    <row r="18" spans="1:72" ht="26.1" customHeight="1">
      <c r="A18" s="267" t="s">
        <v>149</v>
      </c>
      <c r="B18" s="272">
        <f>IF(B13="钢管",VLOOKUP(B14,$J$6:$U$13,12,FALSE),IF(B13="方管",VLOOKUP(B14,$AA$6:$AP$13,16,FALSE),IF(B13="H型钢",VLOOKUP(B14,$J$18:$U$27,12,FALSE),IF(B13="多棱管",VLOOKUP(B14,$J$31:$U$36,12,FALSE),IF(B13="O形截面",VLOOKUP(B14,$AA$18:$AU$25,16,FALSE))))))</f>
        <v>83088.170143933094</v>
      </c>
      <c r="C18" s="271" t="s">
        <v>115</v>
      </c>
      <c r="J18" s="272" t="str">
        <f>IF(L18="","","H"&amp;L18&amp;"*"&amp;M18&amp;"*"&amp;N18&amp;"*"&amp;O18)</f>
        <v>H206*102*8*6.2</v>
      </c>
      <c r="K18" s="268" t="s">
        <v>93</v>
      </c>
      <c r="L18" s="268">
        <v>206</v>
      </c>
      <c r="M18" s="268">
        <v>102</v>
      </c>
      <c r="N18" s="268">
        <v>8</v>
      </c>
      <c r="O18" s="268">
        <v>6.2</v>
      </c>
      <c r="P18" s="263">
        <f>ROUND(Q18*1000*0.00000785*10/1000,2)</f>
        <v>0.22</v>
      </c>
      <c r="Q18" s="263">
        <f>N18*M18*2+(L18-2*N18)*O18</f>
        <v>2810</v>
      </c>
      <c r="R18" s="264">
        <f>(L18^3*M18-(2*(M18/2-O18/2)*(L18-2*N18)^3))/12</f>
        <v>19547752.666666701</v>
      </c>
      <c r="S18" s="263">
        <f>L18*M18^3/12-2*(((L18-2*N18)*(M18/2-O18/2)^3/12)+(L18-2*N18)*(M18/2-O18/2)*((M18/2-O18/2)/2+O18/2)^2)</f>
        <v>1418717.5266666701</v>
      </c>
      <c r="T18" s="263">
        <f t="shared" ref="T18:U25" si="21">ROUND(R18/(L18*0.5),2)</f>
        <v>189784.01</v>
      </c>
      <c r="U18" s="263">
        <f t="shared" si="21"/>
        <v>27817.99</v>
      </c>
      <c r="V18" s="263">
        <f t="shared" ref="V18:V25" si="22">M18/1000*$B$215</f>
        <v>0.10199999999999999</v>
      </c>
      <c r="AA18" s="272" t="str">
        <f>IF(AC18="","","O"&amp;AC18&amp;"*"&amp;AD18)</f>
        <v>O140*2.25</v>
      </c>
      <c r="AB18" s="270" t="s">
        <v>96</v>
      </c>
      <c r="AC18" s="268">
        <v>140</v>
      </c>
      <c r="AD18" s="268">
        <v>2.25</v>
      </c>
      <c r="AE18" s="268">
        <v>3</v>
      </c>
      <c r="AI18" s="263">
        <f>AC18*0.5</f>
        <v>70</v>
      </c>
      <c r="AJ18" s="263">
        <f>AC18/2*TAN(RADIANS(30))</f>
        <v>40.414518843273797</v>
      </c>
      <c r="AK18" s="263">
        <f>AL18*0.00000785*10</f>
        <v>8.3165359524247695E-2</v>
      </c>
      <c r="AL18" s="263">
        <f>3.46*(AC18-AD18)*AD18-2*(BS18*BQ18*0.5-BR18*BT18*0.5)</f>
        <v>1059.43133151908</v>
      </c>
      <c r="AM18" s="267">
        <f>(BH18+(AW18*0.5)^2*BE18)*2+(BI18+BK18^2*BF18)*4+(BJ18)*2</f>
        <v>2826826.7059406</v>
      </c>
      <c r="AN18" s="263">
        <f>BL18*2+(BM18+BO18^2*BF18)*4+(BN18+BG18*(AW18*0.5)^2)*2</f>
        <v>2559876.9456515801</v>
      </c>
      <c r="AO18" s="263">
        <f>AM18/AI18</f>
        <v>40383.238656294299</v>
      </c>
      <c r="AP18" s="263">
        <f>AN18/AJ18</f>
        <v>63340.527585611002</v>
      </c>
      <c r="AQ18" s="263">
        <f>0.606/(AC18-AD18)/AD18</f>
        <v>1.9552329098608602E-3</v>
      </c>
      <c r="AR18" s="263">
        <f>AC18*0.5/AV18</f>
        <v>1.4080890037952099E-5</v>
      </c>
      <c r="AS18" s="263" t="str">
        <f>MID(AB18,2,3)</f>
        <v>420</v>
      </c>
      <c r="AT18" s="263">
        <f>(2*(AC18-2*AD18)/2*TAN(RADIANS(30))-AE18*2)/AD18</f>
        <v>32.102649544530799</v>
      </c>
      <c r="AU18" s="264">
        <f>ROUND(IF(AT18&lt;660/SQRT(AS18/1.111),AS18/1.111,(1-(SQRT((AS18/1.111))*AT18)*0.000448)*1.42*((AS18/1.111))),0)</f>
        <v>378</v>
      </c>
      <c r="AV18" s="263">
        <f>(BA18*AD18*2+BB18*AD18*4+BC18*AD18*2)*(AW18*0.5)^2</f>
        <v>4971276.6601635003</v>
      </c>
      <c r="AW18" s="263">
        <f>AC18-AD18</f>
        <v>137.75</v>
      </c>
      <c r="AX18" s="263">
        <f>360/6</f>
        <v>60</v>
      </c>
      <c r="AY18" s="263">
        <v>45</v>
      </c>
      <c r="AZ18" s="263">
        <v>30</v>
      </c>
      <c r="BA18" s="263">
        <f>2*(AW18/2)*TAN(RADIANS(AX18/2))</f>
        <v>79.529999580870907</v>
      </c>
      <c r="BB18" s="263">
        <f>SQRT(BA18^2+BD18^2-2*BA18*BD18*COS(RADIANS(AY18)))</f>
        <v>58.220000419129001</v>
      </c>
      <c r="BC18" s="263">
        <f>2*(AW18/2)*TAN(RADIANS(AZ18/2))</f>
        <v>36.910001257387201</v>
      </c>
      <c r="BD18" s="263">
        <f>BC18/2/SIN(RADIANS(AZ18*0.5))</f>
        <v>71.304646925744507</v>
      </c>
      <c r="BE18" s="263">
        <f>BA18*AD18</f>
        <v>178.94249905696</v>
      </c>
      <c r="BF18" s="263">
        <f>BB18*AD18</f>
        <v>130.99500094304</v>
      </c>
      <c r="BG18" s="263">
        <f>BC18*AD18</f>
        <v>83.0475028291211</v>
      </c>
      <c r="BH18" s="263">
        <f>AD18^3*BA18/12</f>
        <v>75.491366789654805</v>
      </c>
      <c r="BI18" s="263">
        <f>AD18*BB18*((BB18^2*COS(RADIANS(AZ18))^2)+(AD18^2*SIN(RADIANS(AZ18))^2))/12</f>
        <v>27764.848513224399</v>
      </c>
      <c r="BJ18" s="263">
        <f>BC18^3*AD18/12</f>
        <v>9428.3012831244705</v>
      </c>
      <c r="BK18" s="263">
        <f>AW18*0.5-BB18*0.5*COS(RADIANS(AZ18))</f>
        <v>43.665000314346798</v>
      </c>
      <c r="BL18" s="263">
        <f>BA18^3*AD18/12</f>
        <v>94317.919542000003</v>
      </c>
      <c r="BM18" s="263">
        <f>AD18*BB18*((BB18^2*COS(RADIANS(60))^2)+(AD18^2*SIN(RADIANS(60))^2))/12</f>
        <v>9291.7918484233705</v>
      </c>
      <c r="BN18" s="263">
        <f>AD18^3*BC18/12</f>
        <v>35.0356652560355</v>
      </c>
      <c r="BO18" s="263">
        <f>BA18*0.5+BB18*0.5*COS(RADIANS(60))</f>
        <v>54.319999895217698</v>
      </c>
      <c r="BQ18" s="263">
        <f>AC18*0.5/COS(RADIANS(30))-AC18*0.5</f>
        <v>10.829037686547601</v>
      </c>
      <c r="BR18" s="263">
        <f>(AC18-AD18)*0.5/COS(RADIANS(30))-AW18*0.5</f>
        <v>10.6549995808709</v>
      </c>
      <c r="BS18" s="263">
        <f>2*BQ18*TAN(RADIANS(60))</f>
        <v>37.512886940357198</v>
      </c>
      <c r="BT18" s="263">
        <f>2*BR18*TAN(RADIANS(60))</f>
        <v>36.910001257387101</v>
      </c>
    </row>
    <row r="19" spans="1:72" ht="26.1" customHeight="1">
      <c r="A19" s="292" t="s">
        <v>150</v>
      </c>
      <c r="B19" s="272">
        <f>IF(B13="钢管",VLOOKUP(B14,$J$6:$U$13,9,FALSE),IF(B13="方管",VLOOKUP(B14,$AA$6:$AP$13,13,FALSE),IF(B13="H型钢",VLOOKUP(B14,$J$18:$U$27,9,FALSE),IF(B13="多棱管",VLOOKUP(B14,$J$31:$U$36,9,FALSE),IF(B13="O形截面",VLOOKUP(B14,$AA$18:$AU$25,14,FALSE))))))</f>
        <v>3357968.4179351302</v>
      </c>
      <c r="C19" s="271" t="s">
        <v>151</v>
      </c>
      <c r="J19" s="272" t="str">
        <f t="shared" ref="J19:J25" si="23">IF(L19="","","H"&amp;L19&amp;"*"&amp;M19&amp;"*"&amp;N19&amp;"*"&amp;O19)</f>
        <v>H148*100*4.9*4.3</v>
      </c>
      <c r="K19" s="268" t="s">
        <v>93</v>
      </c>
      <c r="L19" s="268">
        <v>148</v>
      </c>
      <c r="M19" s="268">
        <v>100</v>
      </c>
      <c r="N19" s="268">
        <v>4.9000000000000004</v>
      </c>
      <c r="O19" s="268">
        <v>4.3</v>
      </c>
      <c r="P19" s="263">
        <f>ROUND(Q19*1000*0.00000785*10/1000,2)</f>
        <v>0.12</v>
      </c>
      <c r="Q19" s="263">
        <f>N19*M19*2+(L19-2*N19)*O19</f>
        <v>1574.26</v>
      </c>
      <c r="R19" s="264">
        <f>(L19^3*M19-(2*(M19/2-O19/2)*(L19-2*N19)^3))/12</f>
        <v>5964801.46353334</v>
      </c>
      <c r="S19" s="263">
        <f>L19*M19^3/12-2*(((L19-2*N19)*(M19/2-O19/2)^3/12)+(L19-2*N19)*(M19/2-O19/2)*((M19/2-O19/2)/2+O19/2)^2)</f>
        <v>817582.32228333305</v>
      </c>
      <c r="T19" s="263">
        <f t="shared" si="21"/>
        <v>80605.429999999993</v>
      </c>
      <c r="U19" s="263">
        <f t="shared" si="21"/>
        <v>16351.65</v>
      </c>
      <c r="V19" s="263">
        <f t="shared" si="22"/>
        <v>0.1</v>
      </c>
      <c r="AA19" s="272" t="str">
        <f t="shared" ref="AA19:AA25" si="24">IF(AC19="","","O"&amp;AC19&amp;"*"&amp;AD19)</f>
        <v>O165.2*2.5</v>
      </c>
      <c r="AB19" s="270" t="s">
        <v>96</v>
      </c>
      <c r="AC19" s="268">
        <v>165.2</v>
      </c>
      <c r="AD19" s="268">
        <v>2.5</v>
      </c>
      <c r="AE19" s="268">
        <v>3</v>
      </c>
      <c r="AI19" s="263">
        <f t="shared" ref="AI19:AI25" si="25">AC19*0.5</f>
        <v>82.6</v>
      </c>
      <c r="AJ19" s="263">
        <f t="shared" ref="AJ19:AJ25" si="26">AC19/2*TAN(RADIANS(30))</f>
        <v>47.689132235063099</v>
      </c>
      <c r="AK19" s="263">
        <f t="shared" ref="AK19:AK25" si="27">AL19*0.00000785*10</f>
        <v>0.10914364534953799</v>
      </c>
      <c r="AL19" s="263">
        <f t="shared" ref="AL19:AL25" si="28">3.46*(AC19-AD19)*AD19-2*(BS19*BQ19*0.5-BR19*BT19*0.5)</f>
        <v>1390.3649089113101</v>
      </c>
      <c r="AM19" s="267">
        <f t="shared" ref="AM19:AM25" si="29">(BH19+(AW19*0.5)^2*BE19)*2+(BI19+BK19^2*BF19)*4+(BJ19)*2</f>
        <v>5175363.6021034699</v>
      </c>
      <c r="AN19" s="263">
        <f t="shared" ref="AN19:AN25" si="30">BL19*2+(BM19+BO19^2*BF19)*4+(BN19+BG19*(AW19*0.5)^2)*2</f>
        <v>4686620.7658579303</v>
      </c>
      <c r="AO19" s="263">
        <f t="shared" ref="AO19:AP25" si="31">AM19/AI19</f>
        <v>62655.7336816401</v>
      </c>
      <c r="AP19" s="263">
        <f t="shared" si="31"/>
        <v>98274.398090475806</v>
      </c>
      <c r="AQ19" s="263">
        <f t="shared" ref="AQ19:AQ25" si="32">0.606/(AC19-AD19)/AD19</f>
        <v>1.48985863552551E-3</v>
      </c>
      <c r="AR19" s="263">
        <f t="shared" ref="AR19:AR25" si="33">AC19*0.5/AV19</f>
        <v>9.0754211419320597E-6</v>
      </c>
      <c r="AS19" s="263" t="str">
        <f t="shared" ref="AS19:AS25" si="34">MID(AB19,2,3)</f>
        <v>420</v>
      </c>
      <c r="AT19" s="263">
        <f t="shared" ref="AT19:AT25" si="35">(2*(AC19-2*AD19)/2*TAN(RADIANS(30))-AE19*2)/AD19</f>
        <v>34.5966052496712</v>
      </c>
      <c r="AU19" s="264">
        <f t="shared" ref="AU19:AU25" si="36">ROUND(IF(AT19&lt;660/SQRT(AS19/1.111),AS19/1.111,(1-(SQRT((AS19/1.111))*AT19)*0.000448)*1.42*((AS19/1.111))),0)</f>
        <v>375</v>
      </c>
      <c r="AV19" s="263">
        <f t="shared" ref="AV19:AV25" si="37">(BA19*AD19*2+BB19*AD19*4+BC19*AD19*2)*(AW19*0.5)^2</f>
        <v>9101506.0026641693</v>
      </c>
      <c r="AW19" s="263">
        <f t="shared" ref="AW19:AW25" si="38">AC19-AD19</f>
        <v>162.69999999999999</v>
      </c>
      <c r="AX19" s="263">
        <f t="shared" ref="AX19:AX25" si="39">360/6</f>
        <v>60</v>
      </c>
      <c r="AY19" s="263">
        <v>45</v>
      </c>
      <c r="AZ19" s="263">
        <v>30</v>
      </c>
      <c r="BA19" s="263">
        <f t="shared" ref="BA19:BA25" si="40">2*(AW19/2)*TAN(RADIANS(AX19/2))</f>
        <v>93.934888797152098</v>
      </c>
      <c r="BB19" s="263">
        <f t="shared" ref="BB19:BB25" si="41">SQRT(BA19^2+BD19^2-2*BA19*BD19*COS(RADIANS(AY19)))</f>
        <v>68.765111202847905</v>
      </c>
      <c r="BC19" s="263">
        <f t="shared" ref="BC19:BC25" si="42">2*(AW19/2)*TAN(RADIANS(AZ19/2))</f>
        <v>43.595333608543697</v>
      </c>
      <c r="BD19" s="263">
        <f t="shared" ref="BD19:BD25" si="43">BC19/2/SIN(RADIANS(AZ19*0.5))</f>
        <v>84.219717276360299</v>
      </c>
      <c r="BE19" s="263">
        <f t="shared" ref="BE19:BE25" si="44">BA19*AD19</f>
        <v>234.83722199287999</v>
      </c>
      <c r="BF19" s="263">
        <f t="shared" ref="BF19:BF25" si="45">BB19*AD19</f>
        <v>171.91277800712001</v>
      </c>
      <c r="BG19" s="263">
        <f t="shared" ref="BG19:BG25" si="46">BC19*AD19</f>
        <v>108.98833402135899</v>
      </c>
      <c r="BH19" s="263">
        <f t="shared" ref="BH19:BH25" si="47">AD19^3*BA19/12</f>
        <v>122.31105312129201</v>
      </c>
      <c r="BI19" s="263">
        <f t="shared" ref="BI19:BI25" si="48">AD19*BB19*((BB19^2*COS(RADIANS(AZ19))^2)+(AD19^2*SIN(RADIANS(AZ19))^2))/12</f>
        <v>50829.492462154703</v>
      </c>
      <c r="BJ19" s="263">
        <f t="shared" ref="BJ19:BJ25" si="49">BC19^3*AD19/12</f>
        <v>17261.5097869973</v>
      </c>
      <c r="BK19" s="263">
        <f t="shared" ref="BK19:BK25" si="50">AW19*0.5-BB19*0.5*COS(RADIANS(AZ19))</f>
        <v>51.573833402135897</v>
      </c>
      <c r="BL19" s="263">
        <f t="shared" ref="BL19:BL25" si="51">BA19^3*AD19/12</f>
        <v>172679.00572688601</v>
      </c>
      <c r="BM19" s="263">
        <f t="shared" ref="BM19:BM25" si="52">AD19*BB19*((BB19^2*COS(RADIANS(60))^2)+(AD19^2*SIN(RADIANS(60))^2))/12</f>
        <v>17002.856090859601</v>
      </c>
      <c r="BN19" s="263">
        <f t="shared" ref="BN19:BN25" si="53">AD19^3*BC19/12</f>
        <v>56.764757302791203</v>
      </c>
      <c r="BO19" s="263">
        <f t="shared" ref="BO19:BO25" si="54">BA19*0.5+BB19*0.5*COS(RADIANS(60))</f>
        <v>64.158722199287993</v>
      </c>
      <c r="BQ19" s="263">
        <f t="shared" ref="BQ19:BQ25" si="55">AC19*0.5/COS(RADIANS(30))-AC19*0.5</f>
        <v>12.778264470126199</v>
      </c>
      <c r="BR19" s="263">
        <f t="shared" ref="BR19:BR25" si="56">(AC19-AD19)*0.5/COS(RADIANS(30))-AW19*0.5</f>
        <v>12.5848887971521</v>
      </c>
      <c r="BS19" s="263">
        <f t="shared" ref="BS19:BT25" si="57">2*BQ19*TAN(RADIANS(60))</f>
        <v>44.2652065896214</v>
      </c>
      <c r="BT19" s="263">
        <f t="shared" si="57"/>
        <v>43.595333608543598</v>
      </c>
    </row>
    <row r="20" spans="1:72" ht="26.1" customHeight="1">
      <c r="A20" s="267" t="s">
        <v>152</v>
      </c>
      <c r="B20" s="272">
        <f>IF(B13="钢管",VLOOKUP(B14,$J$6:$U$13,10,FALSE),IF(B13="方管",VLOOKUP(B14,$AA$6:$AP$13,14,FALSE),IF(B13="H型钢",VLOOKUP(B14,$J$18:$U$27,10,FALSE),IF(B13="多棱管",VLOOKUP(B14,$J$31:$U$36,10,FALSE),IF(B13="O形截面",VLOOKUP(B14,$AA$18:$AU$25,13,FALSE))))))</f>
        <v>3708088.2685691002</v>
      </c>
      <c r="C20" s="271" t="s">
        <v>151</v>
      </c>
      <c r="J20" s="272" t="str">
        <f t="shared" si="23"/>
        <v>H200*300*5.2*4.3</v>
      </c>
      <c r="K20" s="268" t="s">
        <v>93</v>
      </c>
      <c r="L20" s="268">
        <v>200</v>
      </c>
      <c r="M20" s="268">
        <v>300</v>
      </c>
      <c r="N20" s="268">
        <v>5.2</v>
      </c>
      <c r="O20" s="268">
        <v>4.3</v>
      </c>
      <c r="P20" s="263">
        <f t="shared" ref="P20:P25" si="58">ROUND(Q20*1000*0.00000785*10/1000,2)</f>
        <v>0.31</v>
      </c>
      <c r="Q20" s="263">
        <f>N20*M20*2+(L20-2*N20)*O20</f>
        <v>3935.28</v>
      </c>
      <c r="R20" s="264">
        <f t="shared" ref="R20:R25" si="59">(L20^3*M20-(2*(M20/2-O20/2)*(L20-2*N20)^3))/12</f>
        <v>32048039.590399999</v>
      </c>
      <c r="S20" s="263">
        <f t="shared" ref="S20:S25" si="60">L20*M20^3/12-2*(((L20-2*N20)*(M20/2-O20/2)^3/12)+(L20-2*N20)*(M20/2-O20/2)*((M20/2-O20/2)/2+O20/2)^2)</f>
        <v>23401256.2106</v>
      </c>
      <c r="T20" s="263">
        <f t="shared" si="21"/>
        <v>320480.40000000002</v>
      </c>
      <c r="U20" s="263">
        <f t="shared" si="21"/>
        <v>156008.37</v>
      </c>
      <c r="V20" s="263">
        <f t="shared" si="22"/>
        <v>0.3</v>
      </c>
      <c r="AA20" s="272" t="str">
        <f t="shared" si="24"/>
        <v>O165.2*3</v>
      </c>
      <c r="AB20" s="270" t="s">
        <v>96</v>
      </c>
      <c r="AC20" s="268">
        <v>165.2</v>
      </c>
      <c r="AD20" s="268">
        <v>3</v>
      </c>
      <c r="AE20" s="268">
        <v>3</v>
      </c>
      <c r="AI20" s="263">
        <f t="shared" si="25"/>
        <v>82.6</v>
      </c>
      <c r="AJ20" s="263">
        <f t="shared" si="26"/>
        <v>47.689132235063099</v>
      </c>
      <c r="AK20" s="263">
        <f t="shared" si="27"/>
        <v>0.13056739989913599</v>
      </c>
      <c r="AL20" s="263">
        <f t="shared" si="28"/>
        <v>1663.27897960682</v>
      </c>
      <c r="AM20" s="267">
        <f t="shared" si="29"/>
        <v>6153533.8126951801</v>
      </c>
      <c r="AN20" s="263">
        <f t="shared" si="30"/>
        <v>5572458.5308545101</v>
      </c>
      <c r="AO20" s="263">
        <f t="shared" si="31"/>
        <v>74497.988047157094</v>
      </c>
      <c r="AP20" s="263">
        <f t="shared" si="31"/>
        <v>116849.652524342</v>
      </c>
      <c r="AQ20" s="263">
        <f t="shared" si="32"/>
        <v>1.24537607891492E-3</v>
      </c>
      <c r="AR20" s="263">
        <f t="shared" si="33"/>
        <v>7.6330068232896102E-6</v>
      </c>
      <c r="AS20" s="263" t="str">
        <f t="shared" si="34"/>
        <v>420</v>
      </c>
      <c r="AT20" s="263">
        <f t="shared" si="35"/>
        <v>28.638054284996102</v>
      </c>
      <c r="AU20" s="264">
        <f t="shared" si="36"/>
        <v>378</v>
      </c>
      <c r="AV20" s="263">
        <f t="shared" si="37"/>
        <v>10821423.5768758</v>
      </c>
      <c r="AW20" s="263">
        <f t="shared" si="38"/>
        <v>162.19999999999999</v>
      </c>
      <c r="AX20" s="263">
        <f t="shared" si="39"/>
        <v>60</v>
      </c>
      <c r="AY20" s="263">
        <v>45</v>
      </c>
      <c r="AZ20" s="263">
        <v>30</v>
      </c>
      <c r="BA20" s="263">
        <f t="shared" si="40"/>
        <v>93.646213662557301</v>
      </c>
      <c r="BB20" s="263">
        <f t="shared" si="41"/>
        <v>68.553786337442702</v>
      </c>
      <c r="BC20" s="263">
        <f t="shared" si="42"/>
        <v>43.461359012328103</v>
      </c>
      <c r="BD20" s="263">
        <f t="shared" si="43"/>
        <v>83.960898231257701</v>
      </c>
      <c r="BE20" s="263">
        <f t="shared" si="44"/>
        <v>280.93864098767199</v>
      </c>
      <c r="BF20" s="263">
        <f t="shared" si="45"/>
        <v>205.66135901232801</v>
      </c>
      <c r="BG20" s="263">
        <f t="shared" si="46"/>
        <v>130.384077036984</v>
      </c>
      <c r="BH20" s="263">
        <f t="shared" si="47"/>
        <v>210.70398074075399</v>
      </c>
      <c r="BI20" s="263">
        <f t="shared" si="48"/>
        <v>60446.722096043603</v>
      </c>
      <c r="BJ20" s="263">
        <f t="shared" si="49"/>
        <v>20523.4286421178</v>
      </c>
      <c r="BK20" s="263">
        <f t="shared" si="50"/>
        <v>51.415339753082002</v>
      </c>
      <c r="BL20" s="263">
        <f t="shared" si="51"/>
        <v>205310.270987836</v>
      </c>
      <c r="BM20" s="263">
        <f t="shared" si="52"/>
        <v>20251.738044853999</v>
      </c>
      <c r="BN20" s="263">
        <f t="shared" si="53"/>
        <v>97.788057777738203</v>
      </c>
      <c r="BO20" s="263">
        <f t="shared" si="54"/>
        <v>63.961553415639301</v>
      </c>
      <c r="BQ20" s="263">
        <f t="shared" si="55"/>
        <v>12.778264470126199</v>
      </c>
      <c r="BR20" s="263">
        <f t="shared" si="56"/>
        <v>12.5462136625573</v>
      </c>
      <c r="BS20" s="263">
        <f t="shared" si="57"/>
        <v>44.2652065896214</v>
      </c>
      <c r="BT20" s="263">
        <f t="shared" si="57"/>
        <v>43.461359012328103</v>
      </c>
    </row>
    <row r="21" spans="1:72" ht="26.1" customHeight="1">
      <c r="A21" s="267" t="s">
        <v>153</v>
      </c>
      <c r="B21" s="293">
        <v>206000</v>
      </c>
      <c r="C21" s="271" t="s">
        <v>109</v>
      </c>
      <c r="J21" s="272" t="str">
        <f t="shared" si="23"/>
        <v>H200*100*5.2*4.3</v>
      </c>
      <c r="K21" s="268" t="s">
        <v>93</v>
      </c>
      <c r="L21" s="268">
        <v>200</v>
      </c>
      <c r="M21" s="268">
        <v>100</v>
      </c>
      <c r="N21" s="268">
        <v>5.2</v>
      </c>
      <c r="O21" s="268">
        <v>4.3</v>
      </c>
      <c r="P21" s="263">
        <f t="shared" si="58"/>
        <v>0.15</v>
      </c>
      <c r="Q21" s="263">
        <f>N21*M21*2+(L21-2*N21)*O21</f>
        <v>1855.28</v>
      </c>
      <c r="R21" s="264">
        <f t="shared" si="59"/>
        <v>12310891.8570667</v>
      </c>
      <c r="S21" s="263">
        <f t="shared" si="60"/>
        <v>867922.87726666406</v>
      </c>
      <c r="T21" s="263">
        <f t="shared" si="21"/>
        <v>123108.92</v>
      </c>
      <c r="U21" s="263">
        <f t="shared" si="21"/>
        <v>17358.46</v>
      </c>
      <c r="V21" s="263">
        <f t="shared" si="22"/>
        <v>0.1</v>
      </c>
      <c r="AA21" s="272" t="str">
        <f t="shared" si="24"/>
        <v>O140*2.5</v>
      </c>
      <c r="AB21" s="270" t="s">
        <v>96</v>
      </c>
      <c r="AC21" s="268">
        <v>140</v>
      </c>
      <c r="AD21" s="268">
        <v>2.5</v>
      </c>
      <c r="AE21" s="268">
        <v>3</v>
      </c>
      <c r="AI21" s="263">
        <f t="shared" si="25"/>
        <v>70</v>
      </c>
      <c r="AJ21" s="263">
        <f t="shared" si="26"/>
        <v>40.414518843273797</v>
      </c>
      <c r="AK21" s="263">
        <f t="shared" si="27"/>
        <v>9.2237215643479198E-2</v>
      </c>
      <c r="AL21" s="263">
        <f t="shared" si="28"/>
        <v>1174.9963776239399</v>
      </c>
      <c r="AM21" s="267">
        <f t="shared" si="29"/>
        <v>3123902.8761809599</v>
      </c>
      <c r="AN21" s="263">
        <f t="shared" si="30"/>
        <v>2828911.8671988999</v>
      </c>
      <c r="AO21" s="263">
        <f t="shared" si="31"/>
        <v>44627.183945442303</v>
      </c>
      <c r="AP21" s="263">
        <f t="shared" si="31"/>
        <v>69997.415487471997</v>
      </c>
      <c r="AQ21" s="263">
        <f t="shared" si="32"/>
        <v>1.7629090909090899E-3</v>
      </c>
      <c r="AR21" s="263">
        <f t="shared" si="33"/>
        <v>1.27420511602756E-5</v>
      </c>
      <c r="AS21" s="263" t="str">
        <f t="shared" si="34"/>
        <v>420</v>
      </c>
      <c r="AT21" s="263">
        <f t="shared" si="35"/>
        <v>28.776914536239801</v>
      </c>
      <c r="AU21" s="264">
        <f t="shared" si="36"/>
        <v>378</v>
      </c>
      <c r="AV21" s="263">
        <f t="shared" si="37"/>
        <v>5493621.0127793802</v>
      </c>
      <c r="AW21" s="263">
        <f t="shared" si="38"/>
        <v>137.5</v>
      </c>
      <c r="AX21" s="263">
        <f t="shared" si="39"/>
        <v>60</v>
      </c>
      <c r="AY21" s="263">
        <v>45</v>
      </c>
      <c r="AZ21" s="263">
        <v>30</v>
      </c>
      <c r="BA21" s="263">
        <f t="shared" si="40"/>
        <v>79.385662013573494</v>
      </c>
      <c r="BB21" s="263">
        <f t="shared" si="41"/>
        <v>58.114337986426399</v>
      </c>
      <c r="BC21" s="263">
        <f t="shared" si="42"/>
        <v>36.843013959279403</v>
      </c>
      <c r="BD21" s="263">
        <f t="shared" si="43"/>
        <v>71.175237403193194</v>
      </c>
      <c r="BE21" s="263">
        <f t="shared" si="44"/>
        <v>198.46415503393399</v>
      </c>
      <c r="BF21" s="263">
        <f t="shared" si="45"/>
        <v>145.28584496606601</v>
      </c>
      <c r="BG21" s="263">
        <f t="shared" si="46"/>
        <v>92.107534898198395</v>
      </c>
      <c r="BH21" s="263">
        <f t="shared" si="47"/>
        <v>103.366747413507</v>
      </c>
      <c r="BI21" s="263">
        <f t="shared" si="48"/>
        <v>30685.819800581601</v>
      </c>
      <c r="BJ21" s="263">
        <f t="shared" si="49"/>
        <v>10418.956252996801</v>
      </c>
      <c r="BK21" s="263">
        <f t="shared" si="50"/>
        <v>43.585753489819801</v>
      </c>
      <c r="BL21" s="263">
        <f t="shared" si="51"/>
        <v>104228.136975286</v>
      </c>
      <c r="BM21" s="263">
        <f t="shared" si="52"/>
        <v>10279.0530741404</v>
      </c>
      <c r="BN21" s="263">
        <f t="shared" si="53"/>
        <v>47.972674426144998</v>
      </c>
      <c r="BO21" s="263">
        <f t="shared" si="54"/>
        <v>54.221415503393402</v>
      </c>
      <c r="BQ21" s="263">
        <f t="shared" si="55"/>
        <v>10.829037686547601</v>
      </c>
      <c r="BR21" s="263">
        <f t="shared" si="56"/>
        <v>10.6356620135735</v>
      </c>
      <c r="BS21" s="263">
        <f t="shared" si="57"/>
        <v>37.512886940357198</v>
      </c>
      <c r="BT21" s="263">
        <f t="shared" si="57"/>
        <v>36.843013959279297</v>
      </c>
    </row>
    <row r="22" spans="1:72" ht="26.1" customHeight="1">
      <c r="A22" s="267" t="s">
        <v>154</v>
      </c>
      <c r="B22" s="272">
        <f>IF(B13="钢管",VLOOKUP(B14,$J$6:$U$13,7,FALSE),IF(B13="方管",VLOOKUP(B14,$AA$6:$AP$13,11,FALSE),IF(B13="H型钢",VLOOKUP(B14,$J$18:$U$27,7,FALSE),IF(B13="多棱管",VLOOKUP(B14,$J$31:$U$36,7,FALSE),IF(B13="O形截面",VLOOKUP(B14,$AA$18:$AU$25,11,FALSE))))))</f>
        <v>0.110279684251865</v>
      </c>
      <c r="C22" s="271" t="s">
        <v>155</v>
      </c>
      <c r="J22" s="272" t="str">
        <f t="shared" si="23"/>
        <v>H150*100*5.5*4.3</v>
      </c>
      <c r="K22" s="268" t="s">
        <v>93</v>
      </c>
      <c r="L22" s="268">
        <v>150</v>
      </c>
      <c r="M22" s="268">
        <v>100</v>
      </c>
      <c r="N22" s="268">
        <v>5.5</v>
      </c>
      <c r="O22" s="268">
        <v>4.3</v>
      </c>
      <c r="P22" s="263">
        <f t="shared" si="58"/>
        <v>0.13</v>
      </c>
      <c r="Q22" s="263">
        <f t="shared" ref="Q22:Q25" si="61">N22*M22*2+(L22-2*N22)*O22</f>
        <v>1697.7</v>
      </c>
      <c r="R22" s="264">
        <f t="shared" si="59"/>
        <v>6707188.4749999996</v>
      </c>
      <c r="S22" s="263">
        <f t="shared" si="60"/>
        <v>917587.62274999905</v>
      </c>
      <c r="T22" s="263">
        <f t="shared" si="21"/>
        <v>89429.18</v>
      </c>
      <c r="U22" s="263">
        <f t="shared" si="21"/>
        <v>18351.75</v>
      </c>
      <c r="V22" s="263">
        <f t="shared" si="22"/>
        <v>0.1</v>
      </c>
      <c r="AA22" s="272" t="str">
        <f t="shared" si="24"/>
        <v>O140*3</v>
      </c>
      <c r="AB22" s="270" t="s">
        <v>96</v>
      </c>
      <c r="AC22" s="268">
        <v>140</v>
      </c>
      <c r="AD22" s="268">
        <v>3</v>
      </c>
      <c r="AE22" s="268">
        <v>3</v>
      </c>
      <c r="AI22" s="263">
        <f t="shared" si="25"/>
        <v>70</v>
      </c>
      <c r="AJ22" s="263">
        <f t="shared" si="26"/>
        <v>40.414518843273797</v>
      </c>
      <c r="AK22" s="263">
        <f t="shared" si="27"/>
        <v>0.110279684251865</v>
      </c>
      <c r="AL22" s="263">
        <f t="shared" si="28"/>
        <v>1404.83674206197</v>
      </c>
      <c r="AM22" s="267">
        <f t="shared" si="29"/>
        <v>3708088.2685691002</v>
      </c>
      <c r="AN22" s="263">
        <f t="shared" si="30"/>
        <v>3357968.4179351302</v>
      </c>
      <c r="AO22" s="263">
        <f t="shared" si="31"/>
        <v>52972.689550987103</v>
      </c>
      <c r="AP22" s="263">
        <f t="shared" si="31"/>
        <v>83088.170143933094</v>
      </c>
      <c r="AQ22" s="263">
        <f t="shared" si="32"/>
        <v>1.4744525547445301E-3</v>
      </c>
      <c r="AR22" s="263">
        <f t="shared" si="33"/>
        <v>1.07350603790372E-5</v>
      </c>
      <c r="AS22" s="263" t="str">
        <f t="shared" si="34"/>
        <v>420</v>
      </c>
      <c r="AT22" s="263">
        <f t="shared" si="35"/>
        <v>23.7883120238033</v>
      </c>
      <c r="AU22" s="264">
        <f t="shared" si="36"/>
        <v>378</v>
      </c>
      <c r="AV22" s="263">
        <f t="shared" si="37"/>
        <v>6520689.9196106903</v>
      </c>
      <c r="AW22" s="263">
        <f t="shared" si="38"/>
        <v>137</v>
      </c>
      <c r="AX22" s="263">
        <f t="shared" si="39"/>
        <v>60</v>
      </c>
      <c r="AY22" s="263">
        <v>45</v>
      </c>
      <c r="AZ22" s="263">
        <v>30</v>
      </c>
      <c r="BA22" s="263">
        <f t="shared" si="40"/>
        <v>79.096986878978697</v>
      </c>
      <c r="BB22" s="263">
        <f t="shared" si="41"/>
        <v>57.903013121021303</v>
      </c>
      <c r="BC22" s="263">
        <f t="shared" si="42"/>
        <v>36.709039363063802</v>
      </c>
      <c r="BD22" s="263">
        <f t="shared" si="43"/>
        <v>70.916418358090695</v>
      </c>
      <c r="BE22" s="263">
        <f t="shared" si="44"/>
        <v>237.29096063693601</v>
      </c>
      <c r="BF22" s="263">
        <f t="shared" si="45"/>
        <v>173.70903936306399</v>
      </c>
      <c r="BG22" s="263">
        <f t="shared" si="46"/>
        <v>110.127118089191</v>
      </c>
      <c r="BH22" s="263">
        <f t="shared" si="47"/>
        <v>177.968220477702</v>
      </c>
      <c r="BI22" s="263">
        <f t="shared" si="48"/>
        <v>36432.853737660698</v>
      </c>
      <c r="BJ22" s="263">
        <f t="shared" si="49"/>
        <v>12366.849270042499</v>
      </c>
      <c r="BK22" s="263">
        <f t="shared" si="50"/>
        <v>43.427259840765998</v>
      </c>
      <c r="BL22" s="263">
        <f t="shared" si="51"/>
        <v>123714.278894296</v>
      </c>
      <c r="BM22" s="263">
        <f t="shared" si="52"/>
        <v>12231.1390989018</v>
      </c>
      <c r="BN22" s="263">
        <f t="shared" si="53"/>
        <v>82.595338566893602</v>
      </c>
      <c r="BO22" s="263">
        <f t="shared" si="54"/>
        <v>54.024246719744703</v>
      </c>
      <c r="BQ22" s="263">
        <f t="shared" si="55"/>
        <v>10.829037686547601</v>
      </c>
      <c r="BR22" s="263">
        <f t="shared" si="56"/>
        <v>10.596986878978701</v>
      </c>
      <c r="BS22" s="263">
        <f t="shared" si="57"/>
        <v>37.512886940357198</v>
      </c>
      <c r="BT22" s="263">
        <f t="shared" si="57"/>
        <v>36.709039363063802</v>
      </c>
    </row>
    <row r="23" spans="1:72" ht="26.1" customHeight="1">
      <c r="A23" s="267" t="s">
        <v>86</v>
      </c>
      <c r="B23" s="272">
        <f>IF(B13="钢管",VLOOKUP(B14,$J$6:$W$13,13,FALSE),IF(B13="方管",VLOOKUP(B14,$AA$6:$AR$13,17,FALSE),IF(B13="H型钢",VLOOKUP(B14,$J$18:$W$27,13,FALSE),IF(B13="多棱管",VLOOKUP(B14,$J$31:$W$36,13,FALSE),IF(B13="O形截面",VLOOKUP(B14,$AA$18:$AU$25,17,FALSE))))))</f>
        <v>1.4744525547445301E-3</v>
      </c>
      <c r="C23" s="271"/>
      <c r="J23" s="272" t="str">
        <f t="shared" si="23"/>
        <v>H148*100*4.9*4.3</v>
      </c>
      <c r="K23" s="268" t="s">
        <v>93</v>
      </c>
      <c r="L23" s="268">
        <v>148</v>
      </c>
      <c r="M23" s="268">
        <v>100</v>
      </c>
      <c r="N23" s="268">
        <v>4.9000000000000004</v>
      </c>
      <c r="O23" s="268">
        <v>4.3</v>
      </c>
      <c r="P23" s="263">
        <f t="shared" si="58"/>
        <v>0.12</v>
      </c>
      <c r="Q23" s="263">
        <f t="shared" si="61"/>
        <v>1574.26</v>
      </c>
      <c r="R23" s="264">
        <f t="shared" si="59"/>
        <v>5964801.46353334</v>
      </c>
      <c r="S23" s="263">
        <f t="shared" si="60"/>
        <v>817582.32228333305</v>
      </c>
      <c r="T23" s="263">
        <f t="shared" si="21"/>
        <v>80605.429999999993</v>
      </c>
      <c r="U23" s="263">
        <f t="shared" si="21"/>
        <v>16351.65</v>
      </c>
      <c r="V23" s="263">
        <f t="shared" si="22"/>
        <v>0.1</v>
      </c>
      <c r="AA23" s="272" t="str">
        <f t="shared" si="24"/>
        <v/>
      </c>
      <c r="AB23" s="270"/>
      <c r="AC23" s="268"/>
      <c r="AD23" s="268"/>
      <c r="AE23" s="268"/>
      <c r="AI23" s="263">
        <f t="shared" si="25"/>
        <v>0</v>
      </c>
      <c r="AJ23" s="263">
        <f t="shared" si="26"/>
        <v>0</v>
      </c>
      <c r="AK23" s="263">
        <f t="shared" si="27"/>
        <v>0</v>
      </c>
      <c r="AL23" s="263">
        <f t="shared" si="28"/>
        <v>0</v>
      </c>
      <c r="AM23" s="267">
        <f t="shared" si="29"/>
        <v>0</v>
      </c>
      <c r="AN23" s="263">
        <f t="shared" si="30"/>
        <v>0</v>
      </c>
      <c r="AO23" s="263" t="e">
        <f t="shared" si="31"/>
        <v>#DIV/0!</v>
      </c>
      <c r="AP23" s="263" t="e">
        <f t="shared" si="31"/>
        <v>#DIV/0!</v>
      </c>
      <c r="AQ23" s="263" t="e">
        <f t="shared" si="32"/>
        <v>#DIV/0!</v>
      </c>
      <c r="AR23" s="263" t="e">
        <f t="shared" si="33"/>
        <v>#DIV/0!</v>
      </c>
      <c r="AS23" s="263" t="str">
        <f t="shared" si="34"/>
        <v/>
      </c>
      <c r="AT23" s="263" t="e">
        <f t="shared" si="35"/>
        <v>#DIV/0!</v>
      </c>
      <c r="AU23" s="264" t="e">
        <f t="shared" si="36"/>
        <v>#DIV/0!</v>
      </c>
      <c r="AV23" s="263">
        <f t="shared" si="37"/>
        <v>0</v>
      </c>
      <c r="AW23" s="263">
        <f t="shared" si="38"/>
        <v>0</v>
      </c>
      <c r="AX23" s="263">
        <f t="shared" si="39"/>
        <v>60</v>
      </c>
      <c r="AY23" s="263">
        <v>45</v>
      </c>
      <c r="AZ23" s="263">
        <v>30</v>
      </c>
      <c r="BA23" s="263">
        <f t="shared" si="40"/>
        <v>0</v>
      </c>
      <c r="BB23" s="263">
        <f t="shared" si="41"/>
        <v>0</v>
      </c>
      <c r="BC23" s="263">
        <f t="shared" si="42"/>
        <v>0</v>
      </c>
      <c r="BD23" s="263">
        <f t="shared" si="43"/>
        <v>0</v>
      </c>
      <c r="BE23" s="263">
        <f t="shared" si="44"/>
        <v>0</v>
      </c>
      <c r="BF23" s="263">
        <f t="shared" si="45"/>
        <v>0</v>
      </c>
      <c r="BG23" s="263">
        <f t="shared" si="46"/>
        <v>0</v>
      </c>
      <c r="BH23" s="263">
        <f t="shared" si="47"/>
        <v>0</v>
      </c>
      <c r="BI23" s="263">
        <f t="shared" si="48"/>
        <v>0</v>
      </c>
      <c r="BJ23" s="263">
        <f t="shared" si="49"/>
        <v>0</v>
      </c>
      <c r="BK23" s="263">
        <f t="shared" si="50"/>
        <v>0</v>
      </c>
      <c r="BL23" s="263">
        <f t="shared" si="51"/>
        <v>0</v>
      </c>
      <c r="BM23" s="263">
        <f t="shared" si="52"/>
        <v>0</v>
      </c>
      <c r="BN23" s="263">
        <f t="shared" si="53"/>
        <v>0</v>
      </c>
      <c r="BO23" s="263">
        <f t="shared" si="54"/>
        <v>0</v>
      </c>
      <c r="BQ23" s="263">
        <f t="shared" si="55"/>
        <v>0</v>
      </c>
      <c r="BR23" s="263">
        <f t="shared" si="56"/>
        <v>0</v>
      </c>
      <c r="BS23" s="263">
        <f t="shared" si="57"/>
        <v>0</v>
      </c>
      <c r="BT23" s="263">
        <f t="shared" si="57"/>
        <v>0</v>
      </c>
    </row>
    <row r="24" spans="1:72" ht="26.1" customHeight="1">
      <c r="A24" s="267" t="s">
        <v>87</v>
      </c>
      <c r="B24" s="272">
        <f>IF(B13="钢管",VLOOKUP(B14,$J$6:$W$13,14,FALSE),IF(B13="方管",VLOOKUP(B14,$AA$6:$AR$13,18,FALSE),IF(B13="H型钢",VLOOKUP(B14,$J$18:$W$27,14,FALSE),IF(B13="多棱管",VLOOKUP(B14,$J$31:$W$36,14,FALSE),IF(B13="O形截面",VLOOKUP(B14,$AA$18:$AU$25,18,FALSE))))))</f>
        <v>1.07350603790372E-5</v>
      </c>
      <c r="C24" s="271"/>
      <c r="J24" s="272" t="str">
        <f t="shared" si="23"/>
        <v>H202*102*5.8*6.5</v>
      </c>
      <c r="K24" s="268" t="s">
        <v>93</v>
      </c>
      <c r="L24" s="268">
        <v>202</v>
      </c>
      <c r="M24" s="268">
        <v>102</v>
      </c>
      <c r="N24" s="268">
        <v>5.8</v>
      </c>
      <c r="O24" s="268">
        <v>6.5</v>
      </c>
      <c r="P24" s="263">
        <f t="shared" si="58"/>
        <v>0.19</v>
      </c>
      <c r="Q24" s="263">
        <f t="shared" si="61"/>
        <v>2420.8000000000002</v>
      </c>
      <c r="R24" s="264">
        <f t="shared" si="59"/>
        <v>15128778.357333301</v>
      </c>
      <c r="S24" s="263">
        <f t="shared" si="60"/>
        <v>1030191.7833333299</v>
      </c>
      <c r="T24" s="263">
        <f t="shared" si="21"/>
        <v>149789.88</v>
      </c>
      <c r="U24" s="263">
        <f t="shared" si="21"/>
        <v>20199.84</v>
      </c>
      <c r="V24" s="263">
        <f t="shared" si="22"/>
        <v>0.10199999999999999</v>
      </c>
      <c r="AA24" s="272" t="str">
        <f t="shared" si="24"/>
        <v/>
      </c>
      <c r="AB24" s="270"/>
      <c r="AC24" s="268"/>
      <c r="AD24" s="268"/>
      <c r="AE24" s="268"/>
      <c r="AI24" s="263">
        <f t="shared" si="25"/>
        <v>0</v>
      </c>
      <c r="AJ24" s="263">
        <f t="shared" si="26"/>
        <v>0</v>
      </c>
      <c r="AK24" s="263">
        <f t="shared" si="27"/>
        <v>0</v>
      </c>
      <c r="AL24" s="263">
        <f t="shared" si="28"/>
        <v>0</v>
      </c>
      <c r="AM24" s="267">
        <f t="shared" si="29"/>
        <v>0</v>
      </c>
      <c r="AN24" s="263">
        <f t="shared" si="30"/>
        <v>0</v>
      </c>
      <c r="AO24" s="263" t="e">
        <f t="shared" si="31"/>
        <v>#DIV/0!</v>
      </c>
      <c r="AP24" s="263" t="e">
        <f t="shared" si="31"/>
        <v>#DIV/0!</v>
      </c>
      <c r="AQ24" s="263" t="e">
        <f t="shared" si="32"/>
        <v>#DIV/0!</v>
      </c>
      <c r="AR24" s="263" t="e">
        <f t="shared" si="33"/>
        <v>#DIV/0!</v>
      </c>
      <c r="AS24" s="263" t="str">
        <f t="shared" si="34"/>
        <v/>
      </c>
      <c r="AT24" s="263" t="e">
        <f t="shared" si="35"/>
        <v>#DIV/0!</v>
      </c>
      <c r="AU24" s="264" t="e">
        <f t="shared" si="36"/>
        <v>#DIV/0!</v>
      </c>
      <c r="AV24" s="263">
        <f t="shared" si="37"/>
        <v>0</v>
      </c>
      <c r="AW24" s="263">
        <f t="shared" si="38"/>
        <v>0</v>
      </c>
      <c r="AX24" s="263">
        <f t="shared" si="39"/>
        <v>60</v>
      </c>
      <c r="AY24" s="263">
        <v>45</v>
      </c>
      <c r="AZ24" s="263">
        <v>30</v>
      </c>
      <c r="BA24" s="263">
        <f t="shared" si="40"/>
        <v>0</v>
      </c>
      <c r="BB24" s="263">
        <f t="shared" si="41"/>
        <v>0</v>
      </c>
      <c r="BC24" s="263">
        <f t="shared" si="42"/>
        <v>0</v>
      </c>
      <c r="BD24" s="263">
        <f t="shared" si="43"/>
        <v>0</v>
      </c>
      <c r="BE24" s="263">
        <f t="shared" si="44"/>
        <v>0</v>
      </c>
      <c r="BF24" s="263">
        <f t="shared" si="45"/>
        <v>0</v>
      </c>
      <c r="BG24" s="263">
        <f t="shared" si="46"/>
        <v>0</v>
      </c>
      <c r="BH24" s="263">
        <f t="shared" si="47"/>
        <v>0</v>
      </c>
      <c r="BI24" s="263">
        <f t="shared" si="48"/>
        <v>0</v>
      </c>
      <c r="BJ24" s="263">
        <f t="shared" si="49"/>
        <v>0</v>
      </c>
      <c r="BK24" s="263">
        <f t="shared" si="50"/>
        <v>0</v>
      </c>
      <c r="BL24" s="263">
        <f t="shared" si="51"/>
        <v>0</v>
      </c>
      <c r="BM24" s="263">
        <f t="shared" si="52"/>
        <v>0</v>
      </c>
      <c r="BN24" s="263">
        <f t="shared" si="53"/>
        <v>0</v>
      </c>
      <c r="BO24" s="263">
        <f t="shared" si="54"/>
        <v>0</v>
      </c>
      <c r="BQ24" s="263">
        <f t="shared" si="55"/>
        <v>0</v>
      </c>
      <c r="BR24" s="263">
        <f t="shared" si="56"/>
        <v>0</v>
      </c>
      <c r="BS24" s="263">
        <f t="shared" si="57"/>
        <v>0</v>
      </c>
      <c r="BT24" s="263">
        <f t="shared" si="57"/>
        <v>0</v>
      </c>
    </row>
    <row r="25" spans="1:72" ht="26.1" customHeight="1">
      <c r="A25" s="291" t="s">
        <v>341</v>
      </c>
      <c r="B25" s="267"/>
      <c r="C25" s="267"/>
      <c r="J25" s="272" t="str">
        <f t="shared" si="23"/>
        <v/>
      </c>
      <c r="K25" s="268"/>
      <c r="L25" s="268"/>
      <c r="M25" s="268"/>
      <c r="N25" s="268"/>
      <c r="O25" s="268"/>
      <c r="P25" s="263">
        <f t="shared" si="58"/>
        <v>0</v>
      </c>
      <c r="Q25" s="263">
        <f t="shared" si="61"/>
        <v>0</v>
      </c>
      <c r="R25" s="264">
        <f t="shared" si="59"/>
        <v>0</v>
      </c>
      <c r="S25" s="263">
        <f t="shared" si="60"/>
        <v>0</v>
      </c>
      <c r="T25" s="263" t="e">
        <f t="shared" si="21"/>
        <v>#DIV/0!</v>
      </c>
      <c r="U25" s="263" t="e">
        <f t="shared" si="21"/>
        <v>#DIV/0!</v>
      </c>
      <c r="V25" s="263">
        <f t="shared" si="22"/>
        <v>0</v>
      </c>
      <c r="AA25" s="272" t="str">
        <f t="shared" si="24"/>
        <v/>
      </c>
      <c r="AB25" s="270"/>
      <c r="AC25" s="268"/>
      <c r="AD25" s="268"/>
      <c r="AE25" s="268"/>
      <c r="AI25" s="263">
        <f t="shared" si="25"/>
        <v>0</v>
      </c>
      <c r="AJ25" s="263">
        <f t="shared" si="26"/>
        <v>0</v>
      </c>
      <c r="AK25" s="263">
        <f t="shared" si="27"/>
        <v>0</v>
      </c>
      <c r="AL25" s="263">
        <f t="shared" si="28"/>
        <v>0</v>
      </c>
      <c r="AM25" s="267">
        <f t="shared" si="29"/>
        <v>0</v>
      </c>
      <c r="AN25" s="263">
        <f t="shared" si="30"/>
        <v>0</v>
      </c>
      <c r="AO25" s="263" t="e">
        <f t="shared" si="31"/>
        <v>#DIV/0!</v>
      </c>
      <c r="AP25" s="263" t="e">
        <f t="shared" si="31"/>
        <v>#DIV/0!</v>
      </c>
      <c r="AQ25" s="263" t="e">
        <f t="shared" si="32"/>
        <v>#DIV/0!</v>
      </c>
      <c r="AR25" s="263" t="e">
        <f t="shared" si="33"/>
        <v>#DIV/0!</v>
      </c>
      <c r="AS25" s="263" t="str">
        <f t="shared" si="34"/>
        <v/>
      </c>
      <c r="AT25" s="263" t="e">
        <f t="shared" si="35"/>
        <v>#DIV/0!</v>
      </c>
      <c r="AU25" s="264" t="e">
        <f t="shared" si="36"/>
        <v>#DIV/0!</v>
      </c>
      <c r="AV25" s="263">
        <f t="shared" si="37"/>
        <v>0</v>
      </c>
      <c r="AW25" s="263">
        <f t="shared" si="38"/>
        <v>0</v>
      </c>
      <c r="AX25" s="263">
        <f t="shared" si="39"/>
        <v>60</v>
      </c>
      <c r="AY25" s="263">
        <v>45</v>
      </c>
      <c r="AZ25" s="263">
        <v>30</v>
      </c>
      <c r="BA25" s="263">
        <f t="shared" si="40"/>
        <v>0</v>
      </c>
      <c r="BB25" s="263">
        <f t="shared" si="41"/>
        <v>0</v>
      </c>
      <c r="BC25" s="263">
        <f t="shared" si="42"/>
        <v>0</v>
      </c>
      <c r="BD25" s="263">
        <f t="shared" si="43"/>
        <v>0</v>
      </c>
      <c r="BE25" s="263">
        <f t="shared" si="44"/>
        <v>0</v>
      </c>
      <c r="BF25" s="263">
        <f t="shared" si="45"/>
        <v>0</v>
      </c>
      <c r="BG25" s="263">
        <f t="shared" si="46"/>
        <v>0</v>
      </c>
      <c r="BH25" s="263">
        <f t="shared" si="47"/>
        <v>0</v>
      </c>
      <c r="BI25" s="263">
        <f t="shared" si="48"/>
        <v>0</v>
      </c>
      <c r="BJ25" s="263">
        <f t="shared" si="49"/>
        <v>0</v>
      </c>
      <c r="BK25" s="263">
        <f t="shared" si="50"/>
        <v>0</v>
      </c>
      <c r="BL25" s="263">
        <f t="shared" si="51"/>
        <v>0</v>
      </c>
      <c r="BM25" s="263">
        <f t="shared" si="52"/>
        <v>0</v>
      </c>
      <c r="BN25" s="263">
        <f t="shared" si="53"/>
        <v>0</v>
      </c>
      <c r="BO25" s="263">
        <f t="shared" si="54"/>
        <v>0</v>
      </c>
      <c r="BQ25" s="263">
        <f t="shared" si="55"/>
        <v>0</v>
      </c>
      <c r="BR25" s="263">
        <f t="shared" si="56"/>
        <v>0</v>
      </c>
      <c r="BS25" s="263">
        <f t="shared" si="57"/>
        <v>0</v>
      </c>
      <c r="BT25" s="263">
        <f t="shared" si="57"/>
        <v>0</v>
      </c>
    </row>
    <row r="26" spans="1:72" ht="26.1" customHeight="1">
      <c r="A26" s="271"/>
      <c r="B26" s="267"/>
      <c r="C26" s="267"/>
      <c r="R26" s="263"/>
      <c r="Z26" s="263"/>
    </row>
    <row r="27" spans="1:72" ht="26.1" customHeight="1">
      <c r="A27" s="271"/>
      <c r="B27" s="267"/>
      <c r="C27" s="267"/>
      <c r="R27" s="263"/>
      <c r="Z27" s="263"/>
    </row>
    <row r="28" spans="1:72" ht="26.1" customHeight="1">
      <c r="A28" s="271"/>
      <c r="B28" s="267"/>
      <c r="C28" s="267"/>
      <c r="AA28" s="263">
        <v>1</v>
      </c>
      <c r="AB28" s="263">
        <v>2</v>
      </c>
      <c r="AC28" s="263">
        <v>3</v>
      </c>
      <c r="AD28" s="263">
        <v>4</v>
      </c>
      <c r="AE28" s="263">
        <v>5</v>
      </c>
      <c r="AF28" s="263">
        <v>6</v>
      </c>
      <c r="AG28" s="263">
        <v>7</v>
      </c>
      <c r="AH28" s="263">
        <v>8</v>
      </c>
      <c r="AI28" s="263">
        <v>9</v>
      </c>
      <c r="AJ28" s="263">
        <v>10</v>
      </c>
      <c r="AK28" s="263">
        <v>11</v>
      </c>
      <c r="AL28" s="263">
        <v>12</v>
      </c>
      <c r="AM28" s="263">
        <v>13</v>
      </c>
      <c r="AN28" s="263">
        <v>14</v>
      </c>
      <c r="AO28" s="263">
        <v>15</v>
      </c>
      <c r="AP28" s="263">
        <v>16</v>
      </c>
    </row>
    <row r="29" spans="1:72" ht="26.1" customHeight="1">
      <c r="A29" s="267" t="s">
        <v>157</v>
      </c>
      <c r="B29" s="268">
        <v>8</v>
      </c>
      <c r="C29" s="271" t="s">
        <v>36</v>
      </c>
      <c r="F29" s="263" t="s">
        <v>39</v>
      </c>
      <c r="G29" s="287">
        <f>VLOOKUP(E32,Q44:Y49,4,FALSE)</f>
        <v>0.1</v>
      </c>
      <c r="I29" s="263">
        <f>VLOOKUP(E32,Q44:Y49,4,FALSE)</f>
        <v>0.1</v>
      </c>
      <c r="J29" s="263" t="s">
        <v>159</v>
      </c>
      <c r="K29" s="263" t="s">
        <v>68</v>
      </c>
      <c r="AA29" s="263" t="s">
        <v>160</v>
      </c>
      <c r="AB29" s="263" t="s">
        <v>68</v>
      </c>
      <c r="BD29" s="386" t="s">
        <v>161</v>
      </c>
      <c r="BE29" s="386"/>
    </row>
    <row r="30" spans="1:72" ht="26.1" customHeight="1">
      <c r="A30" s="267" t="s">
        <v>162</v>
      </c>
      <c r="B30" s="272">
        <v>7.8</v>
      </c>
      <c r="C30" s="271" t="s">
        <v>36</v>
      </c>
      <c r="F30" s="263" t="s">
        <v>42</v>
      </c>
      <c r="G30" s="287">
        <f>VLOOKUP(E32,Q44:Y49,5,FALSE)</f>
        <v>0.1</v>
      </c>
      <c r="I30" s="263">
        <f>VLOOKUP(E32,Q44:Y49,5,FALSE)</f>
        <v>0.1</v>
      </c>
      <c r="J30" s="288" t="s">
        <v>72</v>
      </c>
      <c r="K30" s="288" t="s">
        <v>73</v>
      </c>
      <c r="L30" s="288" t="s">
        <v>164</v>
      </c>
      <c r="M30" s="288" t="s">
        <v>74</v>
      </c>
      <c r="N30" s="288" t="s">
        <v>75</v>
      </c>
      <c r="O30" s="288" t="s">
        <v>165</v>
      </c>
      <c r="P30" s="263" t="s">
        <v>76</v>
      </c>
      <c r="Q30" s="263" t="s">
        <v>77</v>
      </c>
      <c r="R30" s="264" t="s">
        <v>78</v>
      </c>
      <c r="S30" s="263" t="s">
        <v>79</v>
      </c>
      <c r="T30" s="263" t="s">
        <v>125</v>
      </c>
      <c r="U30" s="263" t="s">
        <v>80</v>
      </c>
      <c r="V30" s="263" t="s">
        <v>86</v>
      </c>
      <c r="W30" s="263" t="s">
        <v>87</v>
      </c>
      <c r="X30" s="263" t="s">
        <v>88</v>
      </c>
      <c r="Y30" s="263" t="s">
        <v>89</v>
      </c>
      <c r="Z30" s="264" t="s">
        <v>90</v>
      </c>
      <c r="AA30" s="288" t="s">
        <v>72</v>
      </c>
      <c r="AB30" s="288" t="s">
        <v>73</v>
      </c>
      <c r="AC30" s="288" t="s">
        <v>122</v>
      </c>
      <c r="AD30" s="288" t="s">
        <v>123</v>
      </c>
      <c r="AE30" s="288" t="s">
        <v>166</v>
      </c>
      <c r="AF30" s="288" t="s">
        <v>167</v>
      </c>
      <c r="AK30" s="263" t="s">
        <v>76</v>
      </c>
      <c r="AL30" s="263" t="s">
        <v>77</v>
      </c>
      <c r="AM30" s="263" t="s">
        <v>78</v>
      </c>
      <c r="AN30" s="263" t="s">
        <v>79</v>
      </c>
      <c r="AO30" s="263" t="s">
        <v>80</v>
      </c>
      <c r="AP30" s="263" t="s">
        <v>81</v>
      </c>
      <c r="AR30" s="263" t="s">
        <v>168</v>
      </c>
      <c r="AS30" s="263" t="s">
        <v>169</v>
      </c>
      <c r="AT30" s="263" t="s">
        <v>170</v>
      </c>
      <c r="AU30" s="263" t="s">
        <v>171</v>
      </c>
      <c r="AV30" s="263" t="s">
        <v>172</v>
      </c>
      <c r="AW30" s="263" t="s">
        <v>173</v>
      </c>
      <c r="AX30" s="263" t="s">
        <v>174</v>
      </c>
      <c r="AY30" s="263" t="s">
        <v>175</v>
      </c>
      <c r="AZ30" s="263" t="s">
        <v>176</v>
      </c>
      <c r="BD30" s="287">
        <f>IF(L31="6边",30,IF(L31="8边",22.5,0))</f>
        <v>30</v>
      </c>
      <c r="BE30" s="287">
        <f>IF(L31="六边",0.577*M31*SIN(RADIANS(BD30)),0.541*M31*SIN(RADIANS(BD30)))</f>
        <v>37.869999999999997</v>
      </c>
    </row>
    <row r="31" spans="1:72" ht="26.1" customHeight="1">
      <c r="A31" s="267" t="s">
        <v>177</v>
      </c>
      <c r="B31" s="272">
        <v>7.5</v>
      </c>
      <c r="C31" s="271" t="s">
        <v>36</v>
      </c>
      <c r="D31" s="269"/>
      <c r="E31" s="269"/>
      <c r="F31" s="263" t="s">
        <v>45</v>
      </c>
      <c r="G31" s="287">
        <f>VLOOKUP(E32,Q44:Y49,6,FALSE)</f>
        <v>0.4</v>
      </c>
      <c r="I31" s="263">
        <f>VLOOKUP(E32,Q44:Y49,6,FALSE)</f>
        <v>0.4</v>
      </c>
      <c r="J31" s="272" t="str">
        <f t="shared" ref="J31:J36" si="62">IF(M31="","","S"&amp;M31&amp;"*"&amp;N31)</f>
        <v>S140*2.25</v>
      </c>
      <c r="K31" s="268" t="s">
        <v>96</v>
      </c>
      <c r="L31" s="268" t="s">
        <v>178</v>
      </c>
      <c r="M31" s="268">
        <v>140</v>
      </c>
      <c r="N31" s="268">
        <v>2.25</v>
      </c>
      <c r="O31" s="268">
        <v>3</v>
      </c>
      <c r="P31" s="263">
        <f>ROUND(Q31*1000*0.00000785*10/1000,4)</f>
        <v>8.4199999999999997E-2</v>
      </c>
      <c r="Q31" s="263">
        <f t="shared" ref="Q31:Q36" si="63">ROUND(IF(L31="16边",3.19*(M31-N31)*N31,IF(L31="12边",3.22*(M31-N31)*N31,IF(L31="8边",3.32*(M31-N31)*N31,3.46*(M31-N31)*N31))),2)</f>
        <v>1072.3800000000001</v>
      </c>
      <c r="R31" s="264">
        <f t="shared" ref="R31:R36" si="64">ROUND(IF(L31="16边",0.403*(M31-N31)^3*N31,IF(L31="12边",0.411*(M31-N31)^3*N31,IF(L31="8边",0.438*(M31-N31)^3*N31,0.481*(M31-N31)^3*N31))),2)</f>
        <v>2828801.13</v>
      </c>
      <c r="S31" s="263">
        <f t="shared" ref="S31:S36" si="65">ROUND(IF(L31="16边",0.403*(M31-N31)^3*N31,IF(L31="12边",0.411*(M31-N31)^3*N31,IF(L31="8边",0.438*(M31-N31)^3*N31,0.481*(M31-N31)^3*N31))),2)</f>
        <v>2828801.13</v>
      </c>
      <c r="T31" s="263">
        <f>ROUND(R31/(M31*0.5),2)</f>
        <v>40411.440000000002</v>
      </c>
      <c r="U31" s="263">
        <f>ROUND(S31/BE30,2)</f>
        <v>74697.679999999993</v>
      </c>
      <c r="V31" s="263">
        <f>IF(L31="16边",0.634/(M31-N31)/N31,IF(L31="12边",0.631/(M31-N31)/N31,IF(L31="8边",0.618/(M31-N31)/N31,0.606/(M31-N31)/N31)))</f>
        <v>1.9552329098608602E-3</v>
      </c>
      <c r="W31" s="263">
        <f>IF(L31="16边",0.628*M31/N31/(M31-N31)^3,IF(L31="12边",0.622*M31/N31/(M31-N31)^3,IF(L31="8边",0.603*M31/N31/(M31-N31)^3,0.577*M31/N31/(M31-N31)^3)))</f>
        <v>1.3735564358528E-5</v>
      </c>
      <c r="X31" s="263" t="str">
        <f>MID(K31,2,3)</f>
        <v>420</v>
      </c>
      <c r="Y31" s="263">
        <f>IF(L31="8边",(2*(M31-2*N31)*0.5*TAN(RADIANS(22.5))-2*TAN(RADIANS(22.5))*O31)/N31,(2*(M31-2*N31)*0.5*TAN(RADIANS(30))-2*TAN(RADIANS(30))*O31)/N31)</f>
        <v>33.229715493358498</v>
      </c>
      <c r="Z31" s="264">
        <f>ROUND(IF(Y31&lt;660/SQRT(X31/1.111),X31/1.111,(1-(SQRT((X31/1.111))*Y31)*0.000448)*1.42*((X31/1.111))),0)</f>
        <v>378</v>
      </c>
      <c r="AA31" s="272" t="str">
        <f t="shared" ref="AA31:AA36" si="66">IF(AC31="","","J"&amp;AE31&amp;"*"&amp;AD31&amp;"*"&amp;AC31&amp;"*"&amp;AF31)</f>
        <v>J50*30*26.5*1.5</v>
      </c>
      <c r="AB31" s="268" t="s">
        <v>93</v>
      </c>
      <c r="AC31" s="268">
        <v>26.5</v>
      </c>
      <c r="AD31" s="268">
        <v>30</v>
      </c>
      <c r="AE31" s="268">
        <v>50</v>
      </c>
      <c r="AF31" s="268">
        <v>1.5</v>
      </c>
      <c r="AK31" s="263">
        <f t="shared" ref="AK31:AK36" si="67">ROUND((AD31+2*(AE31-2*AF31)+AC31*2)*AF31*0.00000785*1000*10/1000,2)</f>
        <v>0.02</v>
      </c>
      <c r="AL31" s="263">
        <f t="shared" ref="AL31:AL36" si="68">(AD31+2*(AE31-2*AF31)+AC31*2)*AF31</f>
        <v>265.5</v>
      </c>
      <c r="AM31" s="263">
        <f t="shared" ref="AM31:AM36" si="69">ROUND(((AD31-2*AF31)*AF31^3/12+(AD31-2*AF31)*AF31*(AE31-AX31-AF31/2)^2)+2*((AC31-AF31)*AF31^3/12+(AC31-AF31)*AF31*(AX31-AF31/2)^2)+2*(AF31*AE31^3/12+AE31*AF31*(AX31-AE31/2)^2),2)</f>
        <v>96965.19</v>
      </c>
      <c r="AN31" s="263">
        <f t="shared" ref="AN31:AN36" si="70">ROUND(2*(AE31*AF31^3/12+AE31*AF31*(AD31/2-AF31/2)^2)+(AF31*(AD31-2*AF31)^3/12)+2*(AF31*(AC31-AF31)^3/12+(AC31-AF31)*AF31*(AD31/2+(AC31-AF31)/2)^2),2)</f>
        <v>93572.88</v>
      </c>
      <c r="AO31" s="263">
        <f t="shared" ref="AO31:AO36" si="71">ROUND(AM31/AZ31,2)</f>
        <v>3401.1</v>
      </c>
      <c r="AP31" s="263">
        <f t="shared" ref="AP31:AP36" si="72">ROUND(AN31/(AD31*0.5+(AC31-AF31)),2)</f>
        <v>2339.3200000000002</v>
      </c>
      <c r="AR31" s="263">
        <f t="shared" ref="AR31:AR36" si="73">(AD31-2*AF31)*AF31</f>
        <v>40.5</v>
      </c>
      <c r="AS31" s="263">
        <f t="shared" ref="AS31:AS36" si="74">(AC31-AF31)*AF31*2</f>
        <v>75</v>
      </c>
      <c r="AT31" s="263">
        <f t="shared" ref="AT31:AT36" si="75">AE31*AF31</f>
        <v>75</v>
      </c>
      <c r="AU31" s="263">
        <f t="shared" ref="AU31:AU36" si="76">AE31-AF31/2</f>
        <v>49.25</v>
      </c>
      <c r="AV31" s="263">
        <f t="shared" ref="AV31:AV36" si="77">AF31/2</f>
        <v>0.75</v>
      </c>
      <c r="AW31" s="263">
        <f t="shared" ref="AW31:AW36" si="78">AE31/2</f>
        <v>25</v>
      </c>
      <c r="AX31" s="263">
        <f t="shared" ref="AX31:AX36" si="79">(AR31*AU31+AS31*AV31+AT31*AW31)/(AR31+AS31+AT31)</f>
        <v>20.608267716535401</v>
      </c>
      <c r="AY31" s="263">
        <f t="shared" ref="AY31:AY36" si="80">AE31-AX31</f>
        <v>29.391732283464599</v>
      </c>
      <c r="AZ31" s="263">
        <f>MAX(AX31:AY31)*0.97</f>
        <v>28.5099803149606</v>
      </c>
      <c r="BD31" s="287">
        <f t="shared" ref="BD31:BD36" si="81">IF(L32="6边",30,IF(L32="8边",22.5,0))</f>
        <v>22.5</v>
      </c>
      <c r="BE31" s="287">
        <f t="shared" ref="BE31:BE36" si="82">IF(L32="六边",0.577*M32*SIN(RADIANS(BD31)),0.541*M32*SIN(RADIANS(BD31)))</f>
        <v>31.054760536427001</v>
      </c>
    </row>
    <row r="32" spans="1:72" ht="26.1" customHeight="1">
      <c r="A32" s="267" t="s">
        <v>179</v>
      </c>
      <c r="B32" s="268">
        <v>6.62</v>
      </c>
      <c r="C32" s="267"/>
      <c r="D32" s="263" t="s">
        <v>342</v>
      </c>
      <c r="E32" s="274">
        <v>3</v>
      </c>
      <c r="F32" s="263" t="s">
        <v>180</v>
      </c>
      <c r="G32" s="287">
        <f>VLOOKUP(E32,Q44:Y49,7,FALSE)</f>
        <v>0.6</v>
      </c>
      <c r="I32" s="263" t="e">
        <f>VLOOKUP(E35,Q47:Y52,4,FALSE)</f>
        <v>#N/A</v>
      </c>
      <c r="J32" s="272" t="str">
        <f t="shared" si="62"/>
        <v>S150*3</v>
      </c>
      <c r="K32" s="268" t="s">
        <v>96</v>
      </c>
      <c r="L32" s="268" t="s">
        <v>181</v>
      </c>
      <c r="M32" s="268">
        <v>150</v>
      </c>
      <c r="N32" s="268">
        <v>3</v>
      </c>
      <c r="O32" s="268">
        <v>8</v>
      </c>
      <c r="P32" s="263">
        <f t="shared" ref="P32:P36" si="83">ROUND(Q32*1000*0.00000785*10/1000,4)</f>
        <v>0.1149</v>
      </c>
      <c r="Q32" s="263">
        <f t="shared" si="63"/>
        <v>1464.12</v>
      </c>
      <c r="R32" s="264">
        <f t="shared" si="64"/>
        <v>4173951.22</v>
      </c>
      <c r="S32" s="263">
        <f t="shared" si="65"/>
        <v>4173951.22</v>
      </c>
      <c r="T32" s="263">
        <f t="shared" ref="T32:T36" si="84">ROUND(R32/(M32*0.5),2)</f>
        <v>55652.68</v>
      </c>
      <c r="U32" s="263">
        <f t="shared" ref="U32:U36" si="85">ROUND(S32/BE31,2)</f>
        <v>134406.16</v>
      </c>
      <c r="V32" s="263">
        <f t="shared" ref="V32:V36" si="86">IF(L32="16边",0.634/(M32-N32)/N32,IF(L32="12边",0.631/(M32-N32)/N32,IF(L32="8边",0.618/(M32-N32)/N32,0.606/(M32-N32)/N32)))</f>
        <v>1.4013605442176899E-3</v>
      </c>
      <c r="W32" s="263">
        <f t="shared" ref="W32:W36" si="87">IF(L32="16边",0.628*M32/N32/(M32-N32)^3,IF(L32="12边",0.622*M32/N32/(M32-N32)^3,IF(L32="8边",0.603*M32/N32/(M32-N32)^3,0.577*M32/N32/(M32-N32)^3)))</f>
        <v>9.4915100567507293E-6</v>
      </c>
      <c r="X32" s="263" t="str">
        <f t="shared" ref="X32:X36" si="88">MID(K32,2,3)</f>
        <v>420</v>
      </c>
      <c r="Y32" s="263">
        <f t="shared" ref="Y32:Y36" si="89">IF(L32="8边",(2*(M32-2*N32)*0.5*TAN(RADIANS(22.5))-2*TAN(RADIANS(22.5))*O32)/N32,(2*(M32-2*N32)*0.5*TAN(RADIANS(30))-2*TAN(RADIANS(30))*O32)/N32)</f>
        <v>17.673111994585401</v>
      </c>
      <c r="Z32" s="264">
        <f t="shared" ref="Z32:Z36" si="90">ROUND(IF(Y32&lt;660/SQRT(X32/1.111),X32/1.111,(1-(SQRT((X32/1.111))*Y32)*0.000448)*1.42*((X32/1.111))),0)</f>
        <v>378</v>
      </c>
      <c r="AA32" s="272" t="str">
        <f t="shared" si="66"/>
        <v>J70*65*0*1.5</v>
      </c>
      <c r="AB32" s="268" t="s">
        <v>93</v>
      </c>
      <c r="AC32" s="268">
        <v>0</v>
      </c>
      <c r="AD32" s="268">
        <v>65</v>
      </c>
      <c r="AE32" s="268">
        <v>70</v>
      </c>
      <c r="AF32" s="268">
        <v>1.5</v>
      </c>
      <c r="AK32" s="263">
        <f t="shared" si="67"/>
        <v>0.02</v>
      </c>
      <c r="AL32" s="263">
        <f t="shared" si="68"/>
        <v>298.5</v>
      </c>
      <c r="AM32" s="263">
        <f t="shared" si="69"/>
        <v>163224.67000000001</v>
      </c>
      <c r="AN32" s="263">
        <f t="shared" si="70"/>
        <v>236986.38</v>
      </c>
      <c r="AO32" s="263">
        <f t="shared" si="71"/>
        <v>3220.06</v>
      </c>
      <c r="AP32" s="263">
        <f t="shared" si="72"/>
        <v>7644.72</v>
      </c>
      <c r="AR32" s="263">
        <f t="shared" si="73"/>
        <v>93</v>
      </c>
      <c r="AS32" s="263">
        <f t="shared" si="74"/>
        <v>-4.5</v>
      </c>
      <c r="AT32" s="263">
        <f t="shared" si="75"/>
        <v>105</v>
      </c>
      <c r="AU32" s="263">
        <f t="shared" si="76"/>
        <v>69.25</v>
      </c>
      <c r="AV32" s="263">
        <f t="shared" si="77"/>
        <v>0.75</v>
      </c>
      <c r="AW32" s="263">
        <f t="shared" si="78"/>
        <v>35</v>
      </c>
      <c r="AX32" s="263">
        <f t="shared" si="79"/>
        <v>52.257751937984501</v>
      </c>
      <c r="AY32" s="263">
        <f t="shared" si="80"/>
        <v>17.742248062015499</v>
      </c>
      <c r="AZ32" s="263">
        <f t="shared" ref="AZ32:AZ36" si="91">MAX(AX32:AY32)*0.97</f>
        <v>50.690019379844998</v>
      </c>
      <c r="BD32" s="287">
        <f t="shared" si="81"/>
        <v>0</v>
      </c>
      <c r="BE32" s="287">
        <f t="shared" si="82"/>
        <v>0</v>
      </c>
    </row>
    <row r="33" spans="1:57" ht="26.1" customHeight="1">
      <c r="A33" s="267" t="s">
        <v>182</v>
      </c>
      <c r="B33" s="268">
        <v>0.15</v>
      </c>
      <c r="C33" s="271" t="s">
        <v>36</v>
      </c>
      <c r="D33" s="263" t="s">
        <v>183</v>
      </c>
      <c r="E33" s="274" t="s">
        <v>184</v>
      </c>
      <c r="J33" s="272" t="str">
        <f t="shared" si="62"/>
        <v/>
      </c>
      <c r="K33" s="268"/>
      <c r="L33" s="268"/>
      <c r="M33" s="268"/>
      <c r="N33" s="268"/>
      <c r="O33" s="268"/>
      <c r="P33" s="263">
        <f t="shared" si="83"/>
        <v>0</v>
      </c>
      <c r="Q33" s="263">
        <f t="shared" si="63"/>
        <v>0</v>
      </c>
      <c r="R33" s="264">
        <f t="shared" si="64"/>
        <v>0</v>
      </c>
      <c r="S33" s="263">
        <f t="shared" si="65"/>
        <v>0</v>
      </c>
      <c r="T33" s="263" t="e">
        <f t="shared" si="84"/>
        <v>#DIV/0!</v>
      </c>
      <c r="U33" s="263" t="e">
        <f t="shared" si="85"/>
        <v>#DIV/0!</v>
      </c>
      <c r="V33" s="263" t="e">
        <f t="shared" si="86"/>
        <v>#DIV/0!</v>
      </c>
      <c r="W33" s="263" t="e">
        <f t="shared" si="87"/>
        <v>#DIV/0!</v>
      </c>
      <c r="X33" s="263" t="str">
        <f t="shared" si="88"/>
        <v/>
      </c>
      <c r="Y33" s="263" t="e">
        <f t="shared" si="89"/>
        <v>#DIV/0!</v>
      </c>
      <c r="Z33" s="264" t="e">
        <f t="shared" si="90"/>
        <v>#DIV/0!</v>
      </c>
      <c r="AA33" s="272" t="str">
        <f t="shared" si="66"/>
        <v>J70*65*0*1.5</v>
      </c>
      <c r="AB33" s="268" t="s">
        <v>93</v>
      </c>
      <c r="AC33" s="268">
        <v>0</v>
      </c>
      <c r="AD33" s="268">
        <v>65</v>
      </c>
      <c r="AE33" s="268">
        <v>70</v>
      </c>
      <c r="AF33" s="268">
        <v>1.5</v>
      </c>
      <c r="AK33" s="263">
        <f t="shared" si="67"/>
        <v>0.02</v>
      </c>
      <c r="AL33" s="263">
        <f t="shared" si="68"/>
        <v>298.5</v>
      </c>
      <c r="AM33" s="263">
        <f t="shared" si="69"/>
        <v>163224.67000000001</v>
      </c>
      <c r="AN33" s="263">
        <f t="shared" si="70"/>
        <v>236986.38</v>
      </c>
      <c r="AO33" s="263">
        <f t="shared" si="71"/>
        <v>3220.06</v>
      </c>
      <c r="AP33" s="263">
        <f t="shared" si="72"/>
        <v>7644.72</v>
      </c>
      <c r="AR33" s="263">
        <f t="shared" si="73"/>
        <v>93</v>
      </c>
      <c r="AS33" s="263">
        <f t="shared" si="74"/>
        <v>-4.5</v>
      </c>
      <c r="AT33" s="263">
        <f t="shared" si="75"/>
        <v>105</v>
      </c>
      <c r="AU33" s="263">
        <f t="shared" si="76"/>
        <v>69.25</v>
      </c>
      <c r="AV33" s="263">
        <f t="shared" si="77"/>
        <v>0.75</v>
      </c>
      <c r="AW33" s="263">
        <f t="shared" si="78"/>
        <v>35</v>
      </c>
      <c r="AX33" s="263">
        <f t="shared" si="79"/>
        <v>52.257751937984501</v>
      </c>
      <c r="AY33" s="263">
        <f t="shared" si="80"/>
        <v>17.742248062015499</v>
      </c>
      <c r="AZ33" s="263">
        <f t="shared" si="91"/>
        <v>50.690019379844998</v>
      </c>
      <c r="BD33" s="287">
        <f t="shared" si="81"/>
        <v>0</v>
      </c>
      <c r="BE33" s="287">
        <f t="shared" si="82"/>
        <v>0</v>
      </c>
    </row>
    <row r="34" spans="1:57" ht="26.1" customHeight="1">
      <c r="A34" s="267" t="s">
        <v>186</v>
      </c>
      <c r="B34" s="268">
        <v>10.4</v>
      </c>
      <c r="C34" s="271"/>
      <c r="D34" s="263" t="s">
        <v>187</v>
      </c>
      <c r="E34" s="274" t="s">
        <v>262</v>
      </c>
      <c r="J34" s="272" t="str">
        <f t="shared" si="62"/>
        <v/>
      </c>
      <c r="K34" s="268"/>
      <c r="L34" s="268"/>
      <c r="M34" s="268"/>
      <c r="N34" s="268"/>
      <c r="O34" s="268"/>
      <c r="P34" s="263">
        <f t="shared" si="83"/>
        <v>0</v>
      </c>
      <c r="Q34" s="263">
        <f t="shared" si="63"/>
        <v>0</v>
      </c>
      <c r="R34" s="264">
        <f t="shared" si="64"/>
        <v>0</v>
      </c>
      <c r="S34" s="263">
        <f t="shared" si="65"/>
        <v>0</v>
      </c>
      <c r="T34" s="263" t="e">
        <f t="shared" si="84"/>
        <v>#DIV/0!</v>
      </c>
      <c r="U34" s="263" t="e">
        <f t="shared" si="85"/>
        <v>#DIV/0!</v>
      </c>
      <c r="V34" s="263" t="e">
        <f t="shared" si="86"/>
        <v>#DIV/0!</v>
      </c>
      <c r="W34" s="263" t="e">
        <f t="shared" si="87"/>
        <v>#DIV/0!</v>
      </c>
      <c r="X34" s="263" t="str">
        <f t="shared" si="88"/>
        <v/>
      </c>
      <c r="Y34" s="263" t="e">
        <f t="shared" si="89"/>
        <v>#DIV/0!</v>
      </c>
      <c r="Z34" s="264" t="e">
        <f t="shared" si="90"/>
        <v>#DIV/0!</v>
      </c>
      <c r="AA34" s="272" t="str">
        <f t="shared" si="66"/>
        <v>J70*65*0*1.5</v>
      </c>
      <c r="AB34" s="268" t="s">
        <v>93</v>
      </c>
      <c r="AC34" s="268">
        <v>0</v>
      </c>
      <c r="AD34" s="268">
        <v>65</v>
      </c>
      <c r="AE34" s="268">
        <v>70</v>
      </c>
      <c r="AF34" s="268">
        <v>1.5</v>
      </c>
      <c r="AK34" s="263">
        <f t="shared" si="67"/>
        <v>0.02</v>
      </c>
      <c r="AL34" s="263">
        <f t="shared" si="68"/>
        <v>298.5</v>
      </c>
      <c r="AM34" s="263">
        <f t="shared" si="69"/>
        <v>163224.67000000001</v>
      </c>
      <c r="AN34" s="263">
        <f t="shared" si="70"/>
        <v>236986.38</v>
      </c>
      <c r="AO34" s="263">
        <f t="shared" si="71"/>
        <v>3220.06</v>
      </c>
      <c r="AP34" s="263">
        <f t="shared" si="72"/>
        <v>7644.72</v>
      </c>
      <c r="AR34" s="263">
        <f t="shared" si="73"/>
        <v>93</v>
      </c>
      <c r="AS34" s="263">
        <f t="shared" si="74"/>
        <v>-4.5</v>
      </c>
      <c r="AT34" s="263">
        <f t="shared" si="75"/>
        <v>105</v>
      </c>
      <c r="AU34" s="263">
        <f t="shared" si="76"/>
        <v>69.25</v>
      </c>
      <c r="AV34" s="263">
        <f t="shared" si="77"/>
        <v>0.75</v>
      </c>
      <c r="AW34" s="263">
        <f t="shared" si="78"/>
        <v>35</v>
      </c>
      <c r="AX34" s="263">
        <f t="shared" si="79"/>
        <v>52.257751937984501</v>
      </c>
      <c r="AY34" s="263">
        <f t="shared" si="80"/>
        <v>17.742248062015499</v>
      </c>
      <c r="AZ34" s="263">
        <f t="shared" si="91"/>
        <v>50.690019379844998</v>
      </c>
      <c r="BD34" s="287">
        <f t="shared" si="81"/>
        <v>0</v>
      </c>
      <c r="BE34" s="287">
        <f t="shared" si="82"/>
        <v>0</v>
      </c>
    </row>
    <row r="35" spans="1:57" ht="26.1" customHeight="1">
      <c r="A35" s="275" t="s">
        <v>189</v>
      </c>
      <c r="B35" s="274">
        <v>5</v>
      </c>
      <c r="C35" s="274">
        <v>10</v>
      </c>
      <c r="D35" s="274">
        <v>20</v>
      </c>
      <c r="E35" s="274">
        <v>30</v>
      </c>
      <c r="F35" s="274">
        <v>35</v>
      </c>
      <c r="G35" s="274">
        <v>40</v>
      </c>
      <c r="H35" s="274">
        <v>45</v>
      </c>
      <c r="J35" s="272" t="str">
        <f t="shared" si="62"/>
        <v/>
      </c>
      <c r="K35" s="268"/>
      <c r="L35" s="268"/>
      <c r="M35" s="268"/>
      <c r="N35" s="268"/>
      <c r="O35" s="268"/>
      <c r="P35" s="263">
        <f t="shared" si="83"/>
        <v>0</v>
      </c>
      <c r="Q35" s="263">
        <f t="shared" si="63"/>
        <v>0</v>
      </c>
      <c r="R35" s="264">
        <f t="shared" si="64"/>
        <v>0</v>
      </c>
      <c r="S35" s="263">
        <f t="shared" si="65"/>
        <v>0</v>
      </c>
      <c r="T35" s="263" t="e">
        <f t="shared" si="84"/>
        <v>#DIV/0!</v>
      </c>
      <c r="U35" s="263" t="e">
        <f t="shared" si="85"/>
        <v>#DIV/0!</v>
      </c>
      <c r="V35" s="263" t="e">
        <f t="shared" si="86"/>
        <v>#DIV/0!</v>
      </c>
      <c r="W35" s="263" t="e">
        <f t="shared" si="87"/>
        <v>#DIV/0!</v>
      </c>
      <c r="X35" s="263" t="str">
        <f t="shared" si="88"/>
        <v/>
      </c>
      <c r="Y35" s="263" t="e">
        <f t="shared" si="89"/>
        <v>#DIV/0!</v>
      </c>
      <c r="Z35" s="264" t="e">
        <f t="shared" si="90"/>
        <v>#DIV/0!</v>
      </c>
      <c r="AA35" s="272" t="str">
        <f t="shared" si="66"/>
        <v>J70*65*0*1.5</v>
      </c>
      <c r="AB35" s="268" t="s">
        <v>93</v>
      </c>
      <c r="AC35" s="268">
        <v>0</v>
      </c>
      <c r="AD35" s="268">
        <v>65</v>
      </c>
      <c r="AE35" s="268">
        <v>70</v>
      </c>
      <c r="AF35" s="268">
        <v>1.5</v>
      </c>
      <c r="AK35" s="263">
        <f t="shared" si="67"/>
        <v>0.02</v>
      </c>
      <c r="AL35" s="263">
        <f t="shared" si="68"/>
        <v>298.5</v>
      </c>
      <c r="AM35" s="263">
        <f t="shared" si="69"/>
        <v>163224.67000000001</v>
      </c>
      <c r="AN35" s="263">
        <f t="shared" si="70"/>
        <v>236986.38</v>
      </c>
      <c r="AO35" s="263">
        <f t="shared" si="71"/>
        <v>3220.06</v>
      </c>
      <c r="AP35" s="263">
        <f t="shared" si="72"/>
        <v>7644.72</v>
      </c>
      <c r="AR35" s="263">
        <f t="shared" si="73"/>
        <v>93</v>
      </c>
      <c r="AS35" s="263">
        <f t="shared" si="74"/>
        <v>-4.5</v>
      </c>
      <c r="AT35" s="263">
        <f t="shared" si="75"/>
        <v>105</v>
      </c>
      <c r="AU35" s="263">
        <f t="shared" si="76"/>
        <v>69.25</v>
      </c>
      <c r="AV35" s="263">
        <f t="shared" si="77"/>
        <v>0.75</v>
      </c>
      <c r="AW35" s="263">
        <f t="shared" si="78"/>
        <v>35</v>
      </c>
      <c r="AX35" s="263">
        <f t="shared" si="79"/>
        <v>52.257751937984501</v>
      </c>
      <c r="AY35" s="263">
        <f t="shared" si="80"/>
        <v>17.742248062015499</v>
      </c>
      <c r="AZ35" s="263">
        <f t="shared" si="91"/>
        <v>50.690019379844998</v>
      </c>
      <c r="BD35" s="287">
        <f t="shared" si="81"/>
        <v>0</v>
      </c>
      <c r="BE35" s="287">
        <f t="shared" si="82"/>
        <v>0</v>
      </c>
    </row>
    <row r="36" spans="1:57" ht="26.1" customHeight="1">
      <c r="A36" s="276" t="s">
        <v>190</v>
      </c>
      <c r="B36" s="274" t="s">
        <v>343</v>
      </c>
      <c r="C36" s="274" t="s">
        <v>344</v>
      </c>
      <c r="D36" s="274" t="s">
        <v>344</v>
      </c>
      <c r="E36" s="274" t="s">
        <v>344</v>
      </c>
      <c r="F36" s="274" t="s">
        <v>344</v>
      </c>
      <c r="G36" s="274" t="s">
        <v>344</v>
      </c>
      <c r="H36" s="274" t="s">
        <v>344</v>
      </c>
      <c r="J36" s="272" t="str">
        <f t="shared" si="62"/>
        <v/>
      </c>
      <c r="K36" s="268"/>
      <c r="L36" s="268"/>
      <c r="M36" s="268"/>
      <c r="N36" s="268"/>
      <c r="O36" s="268"/>
      <c r="P36" s="263">
        <f t="shared" si="83"/>
        <v>0</v>
      </c>
      <c r="Q36" s="263">
        <f t="shared" si="63"/>
        <v>0</v>
      </c>
      <c r="R36" s="264">
        <f t="shared" si="64"/>
        <v>0</v>
      </c>
      <c r="S36" s="263">
        <f t="shared" si="65"/>
        <v>0</v>
      </c>
      <c r="T36" s="263" t="e">
        <f t="shared" si="84"/>
        <v>#DIV/0!</v>
      </c>
      <c r="U36" s="263" t="e">
        <f t="shared" si="85"/>
        <v>#DIV/0!</v>
      </c>
      <c r="V36" s="263" t="e">
        <f t="shared" si="86"/>
        <v>#DIV/0!</v>
      </c>
      <c r="W36" s="263" t="e">
        <f t="shared" si="87"/>
        <v>#DIV/0!</v>
      </c>
      <c r="X36" s="263" t="str">
        <f t="shared" si="88"/>
        <v/>
      </c>
      <c r="Y36" s="263" t="e">
        <f t="shared" si="89"/>
        <v>#DIV/0!</v>
      </c>
      <c r="Z36" s="264" t="e">
        <f t="shared" si="90"/>
        <v>#DIV/0!</v>
      </c>
      <c r="AA36" s="272" t="str">
        <f t="shared" si="66"/>
        <v>J70*65*0*1.5</v>
      </c>
      <c r="AB36" s="268" t="s">
        <v>93</v>
      </c>
      <c r="AC36" s="268">
        <v>0</v>
      </c>
      <c r="AD36" s="268">
        <v>65</v>
      </c>
      <c r="AE36" s="268">
        <v>70</v>
      </c>
      <c r="AF36" s="268">
        <v>1.5</v>
      </c>
      <c r="AK36" s="263">
        <f t="shared" si="67"/>
        <v>0.02</v>
      </c>
      <c r="AL36" s="263">
        <f t="shared" si="68"/>
        <v>298.5</v>
      </c>
      <c r="AM36" s="263">
        <f t="shared" si="69"/>
        <v>163224.67000000001</v>
      </c>
      <c r="AN36" s="263">
        <f t="shared" si="70"/>
        <v>236986.38</v>
      </c>
      <c r="AO36" s="263">
        <f t="shared" si="71"/>
        <v>3220.06</v>
      </c>
      <c r="AP36" s="263">
        <f t="shared" si="72"/>
        <v>7644.72</v>
      </c>
      <c r="AR36" s="263">
        <f t="shared" si="73"/>
        <v>93</v>
      </c>
      <c r="AS36" s="263">
        <f t="shared" si="74"/>
        <v>-4.5</v>
      </c>
      <c r="AT36" s="263">
        <f t="shared" si="75"/>
        <v>105</v>
      </c>
      <c r="AU36" s="263">
        <f t="shared" si="76"/>
        <v>69.25</v>
      </c>
      <c r="AV36" s="263">
        <f t="shared" si="77"/>
        <v>0.75</v>
      </c>
      <c r="AW36" s="263">
        <f t="shared" si="78"/>
        <v>35</v>
      </c>
      <c r="AX36" s="263">
        <f t="shared" si="79"/>
        <v>52.257751937984501</v>
      </c>
      <c r="AY36" s="263">
        <f t="shared" si="80"/>
        <v>17.742248062015499</v>
      </c>
      <c r="AZ36" s="263">
        <f t="shared" si="91"/>
        <v>50.690019379844998</v>
      </c>
      <c r="BD36" s="287">
        <f t="shared" si="81"/>
        <v>0</v>
      </c>
      <c r="BE36" s="287">
        <f t="shared" si="82"/>
        <v>0</v>
      </c>
    </row>
    <row r="37" spans="1:57" ht="26.1" customHeight="1">
      <c r="A37" s="276" t="s">
        <v>193</v>
      </c>
      <c r="B37" s="277">
        <f>IF(B36="运行模式",$B$5,ROUND($B$6*SQRT($F$5),2))</f>
        <v>22.26</v>
      </c>
      <c r="C37" s="277">
        <f t="shared" ref="C37:H37" si="92">IF(C36="运行模式",$B$5,ROUND($B$6*SQRT($F$5),2))</f>
        <v>14</v>
      </c>
      <c r="D37" s="277">
        <f t="shared" si="92"/>
        <v>14</v>
      </c>
      <c r="E37" s="277">
        <f t="shared" si="92"/>
        <v>14</v>
      </c>
      <c r="F37" s="277">
        <f t="shared" si="92"/>
        <v>14</v>
      </c>
      <c r="G37" s="277">
        <f t="shared" si="92"/>
        <v>14</v>
      </c>
      <c r="H37" s="277">
        <f t="shared" si="92"/>
        <v>14</v>
      </c>
      <c r="R37" s="263"/>
      <c r="Z37" s="263"/>
    </row>
    <row r="38" spans="1:57" ht="26.1" customHeight="1">
      <c r="A38" s="276" t="s">
        <v>194</v>
      </c>
      <c r="B38" s="294">
        <f>ROUND(B37^2/1600,3)</f>
        <v>0.31</v>
      </c>
      <c r="C38" s="294">
        <f t="shared" ref="C38:H38" si="93">ROUND(C37^2/1600,3)</f>
        <v>0.123</v>
      </c>
      <c r="D38" s="294">
        <f t="shared" si="93"/>
        <v>0.123</v>
      </c>
      <c r="E38" s="294">
        <f t="shared" si="93"/>
        <v>0.123</v>
      </c>
      <c r="F38" s="294">
        <f t="shared" si="93"/>
        <v>0.123</v>
      </c>
      <c r="G38" s="294">
        <f t="shared" si="93"/>
        <v>0.123</v>
      </c>
      <c r="H38" s="294">
        <f t="shared" si="93"/>
        <v>0.123</v>
      </c>
      <c r="R38" s="263"/>
      <c r="Z38" s="263"/>
    </row>
    <row r="39" spans="1:57" ht="26.1" customHeight="1">
      <c r="A39" s="276" t="s">
        <v>345</v>
      </c>
      <c r="B39" s="277">
        <f t="shared" ref="B39:H39" si="94">IF($E$34="1P",VLOOKUP(B35,$T$82:$Z$94,2,FALSE),IF($E$34="2P",VLOOKUP(B35,$T$98:$Z$110,2,FALSE)))</f>
        <v>0.27</v>
      </c>
      <c r="C39" s="277">
        <f t="shared" si="94"/>
        <v>0.47</v>
      </c>
      <c r="D39" s="277">
        <f t="shared" si="94"/>
        <v>0.73</v>
      </c>
      <c r="E39" s="277">
        <f t="shared" si="94"/>
        <v>0.9</v>
      </c>
      <c r="F39" s="277">
        <f t="shared" si="94"/>
        <v>0.93</v>
      </c>
      <c r="G39" s="277">
        <f t="shared" si="94"/>
        <v>0.92</v>
      </c>
      <c r="H39" s="277">
        <f t="shared" si="94"/>
        <v>1.08</v>
      </c>
      <c r="R39" s="263"/>
      <c r="Z39" s="263"/>
    </row>
    <row r="40" spans="1:57" ht="26.1" customHeight="1">
      <c r="A40" s="276" t="s">
        <v>346</v>
      </c>
      <c r="B40" s="277">
        <f t="shared" ref="B40:H40" si="95">IF($E$34="1P",VLOOKUP(B35,$T$82:$Z$94,3,FALSE),IF($E$34="2P",VLOOKUP(B35,$T$98:$Z$110,3,FALSE)))</f>
        <v>0.69</v>
      </c>
      <c r="C40" s="277">
        <f t="shared" si="95"/>
        <v>1.18</v>
      </c>
      <c r="D40" s="277">
        <f t="shared" si="95"/>
        <v>1.41</v>
      </c>
      <c r="E40" s="277">
        <f t="shared" si="95"/>
        <v>1.66</v>
      </c>
      <c r="F40" s="277">
        <f t="shared" si="95"/>
        <v>1.66</v>
      </c>
      <c r="G40" s="277">
        <f t="shared" si="95"/>
        <v>1.66</v>
      </c>
      <c r="H40" s="277">
        <f t="shared" si="95"/>
        <v>1.66</v>
      </c>
      <c r="R40" s="263"/>
      <c r="Z40" s="263"/>
    </row>
    <row r="41" spans="1:57" ht="26.1" customHeight="1">
      <c r="A41" s="276" t="s">
        <v>198</v>
      </c>
      <c r="B41" s="274">
        <v>1</v>
      </c>
      <c r="C41" s="274">
        <v>1</v>
      </c>
      <c r="D41" s="274">
        <v>1</v>
      </c>
      <c r="E41" s="274">
        <v>1</v>
      </c>
      <c r="F41" s="274">
        <v>1</v>
      </c>
      <c r="G41" s="274">
        <v>1</v>
      </c>
      <c r="H41" s="274">
        <v>1</v>
      </c>
      <c r="Q41" s="100">
        <v>1</v>
      </c>
      <c r="R41" s="100">
        <v>2</v>
      </c>
      <c r="S41" s="100">
        <v>3</v>
      </c>
      <c r="T41" s="100">
        <v>4</v>
      </c>
      <c r="U41" s="100">
        <v>5</v>
      </c>
      <c r="V41" s="100">
        <v>6</v>
      </c>
      <c r="W41" s="100">
        <v>7</v>
      </c>
      <c r="X41" s="100">
        <v>8</v>
      </c>
      <c r="Y41" s="100">
        <v>9</v>
      </c>
      <c r="Z41" s="263"/>
    </row>
    <row r="42" spans="1:57" ht="26.1" customHeight="1">
      <c r="A42" s="278" t="s">
        <v>203</v>
      </c>
      <c r="B42" s="294">
        <f>ABS((B39-B40)/8)</f>
        <v>5.2499999999999998E-2</v>
      </c>
      <c r="C42" s="294">
        <f t="shared" ref="C42:H42" si="96">ABS((C39-C40)/8)</f>
        <v>8.8749999999999996E-2</v>
      </c>
      <c r="D42" s="294">
        <f t="shared" si="96"/>
        <v>8.5000000000000006E-2</v>
      </c>
      <c r="E42" s="294">
        <f t="shared" si="96"/>
        <v>9.5000000000000001E-2</v>
      </c>
      <c r="F42" s="294">
        <f t="shared" si="96"/>
        <v>9.1249999999999998E-2</v>
      </c>
      <c r="G42" s="294">
        <f t="shared" si="96"/>
        <v>9.2499999999999999E-2</v>
      </c>
      <c r="H42" s="294">
        <f t="shared" si="96"/>
        <v>7.2499999999999995E-2</v>
      </c>
      <c r="Q42" s="100"/>
      <c r="R42" s="367" t="s">
        <v>347</v>
      </c>
      <c r="S42" s="367"/>
      <c r="T42" s="368" t="s">
        <v>348</v>
      </c>
      <c r="U42" s="368"/>
      <c r="V42" s="369" t="s">
        <v>349</v>
      </c>
      <c r="W42" s="369"/>
      <c r="X42" s="370" t="s">
        <v>350</v>
      </c>
      <c r="Y42" s="370"/>
      <c r="Z42" s="263"/>
    </row>
    <row r="43" spans="1:57" ht="26.1" customHeight="1">
      <c r="A43" s="278" t="s">
        <v>204</v>
      </c>
      <c r="B43" s="294">
        <f t="shared" ref="B43:H43" si="97">B38*B39*B41</f>
        <v>8.3699999999999997E-2</v>
      </c>
      <c r="C43" s="294">
        <f t="shared" si="97"/>
        <v>5.781E-2</v>
      </c>
      <c r="D43" s="294">
        <f t="shared" si="97"/>
        <v>8.9789999999999995E-2</v>
      </c>
      <c r="E43" s="294">
        <f t="shared" si="97"/>
        <v>0.11070000000000001</v>
      </c>
      <c r="F43" s="294">
        <f t="shared" si="97"/>
        <v>0.11439000000000001</v>
      </c>
      <c r="G43" s="294">
        <f t="shared" si="97"/>
        <v>0.11316</v>
      </c>
      <c r="H43" s="294">
        <f t="shared" si="97"/>
        <v>0.13284000000000001</v>
      </c>
      <c r="Q43" s="100" t="s">
        <v>351</v>
      </c>
      <c r="R43" s="100" t="s">
        <v>352</v>
      </c>
      <c r="S43" s="100" t="s">
        <v>353</v>
      </c>
      <c r="T43" s="100" t="s">
        <v>354</v>
      </c>
      <c r="U43" s="100" t="s">
        <v>355</v>
      </c>
      <c r="V43" s="100" t="s">
        <v>356</v>
      </c>
      <c r="W43" s="100" t="s">
        <v>357</v>
      </c>
      <c r="X43" s="100" t="s">
        <v>358</v>
      </c>
      <c r="Y43" s="100" t="s">
        <v>359</v>
      </c>
      <c r="Z43" s="263"/>
    </row>
    <row r="44" spans="1:57" ht="26.1" customHeight="1">
      <c r="A44" s="279" t="s">
        <v>205</v>
      </c>
      <c r="B44" s="277">
        <f>B38*B40*B41</f>
        <v>0.21390000000000001</v>
      </c>
      <c r="C44" s="277">
        <f t="shared" ref="C44:H44" si="98">C38*C40*C41</f>
        <v>0.14513999999999999</v>
      </c>
      <c r="D44" s="277">
        <f t="shared" si="98"/>
        <v>0.17343</v>
      </c>
      <c r="E44" s="277">
        <f t="shared" si="98"/>
        <v>0.20418</v>
      </c>
      <c r="F44" s="277">
        <f t="shared" si="98"/>
        <v>0.20418</v>
      </c>
      <c r="G44" s="277">
        <f t="shared" si="98"/>
        <v>0.20418</v>
      </c>
      <c r="H44" s="277">
        <f t="shared" si="98"/>
        <v>0.20418</v>
      </c>
      <c r="Q44" s="100">
        <v>2</v>
      </c>
      <c r="R44" s="100">
        <v>7.0000000000000007E-2</v>
      </c>
      <c r="S44" s="100">
        <v>7.0000000000000007E-2</v>
      </c>
      <c r="T44" s="100">
        <v>0.125</v>
      </c>
      <c r="U44" s="100">
        <v>0.125</v>
      </c>
      <c r="V44" s="100">
        <v>0.375</v>
      </c>
      <c r="W44" s="100">
        <v>0.625</v>
      </c>
      <c r="X44" s="100">
        <v>0.52100000000000002</v>
      </c>
      <c r="Y44" s="100">
        <v>0.52100000000000002</v>
      </c>
      <c r="Z44" s="263"/>
    </row>
    <row r="45" spans="1:57" ht="26.1" customHeight="1">
      <c r="A45" s="279" t="s">
        <v>206</v>
      </c>
      <c r="B45" s="274">
        <v>1.4</v>
      </c>
      <c r="C45" s="274">
        <v>1.4</v>
      </c>
      <c r="D45" s="274">
        <v>1.4</v>
      </c>
      <c r="E45" s="274">
        <v>1.4</v>
      </c>
      <c r="F45" s="274">
        <v>1.4</v>
      </c>
      <c r="G45" s="274">
        <v>1.4</v>
      </c>
      <c r="H45" s="274">
        <v>1.4</v>
      </c>
      <c r="Q45" s="100">
        <v>3</v>
      </c>
      <c r="R45" s="100">
        <v>0.08</v>
      </c>
      <c r="S45" s="100">
        <v>2.5000000000000001E-2</v>
      </c>
      <c r="T45" s="100">
        <v>0.1</v>
      </c>
      <c r="U45" s="100">
        <v>0.1</v>
      </c>
      <c r="V45" s="100">
        <v>0.4</v>
      </c>
      <c r="W45" s="100">
        <v>0.6</v>
      </c>
      <c r="X45" s="100">
        <v>0.67700000000000005</v>
      </c>
      <c r="Y45" s="100">
        <v>5.1999999999999998E-2</v>
      </c>
      <c r="Z45" s="263"/>
    </row>
    <row r="46" spans="1:57" ht="26.1" customHeight="1">
      <c r="A46" s="279" t="s">
        <v>207</v>
      </c>
      <c r="B46" s="274">
        <v>1.2</v>
      </c>
      <c r="C46" s="274">
        <v>1.2</v>
      </c>
      <c r="D46" s="274">
        <v>1.2</v>
      </c>
      <c r="E46" s="274">
        <v>1.2</v>
      </c>
      <c r="F46" s="274">
        <v>1.2</v>
      </c>
      <c r="G46" s="274">
        <v>1.2</v>
      </c>
      <c r="H46" s="274">
        <v>1.2</v>
      </c>
      <c r="Q46" s="100">
        <v>4</v>
      </c>
      <c r="R46" s="100">
        <v>7.6999999999999999E-2</v>
      </c>
      <c r="S46" s="100">
        <v>3.5999999999999997E-2</v>
      </c>
      <c r="T46" s="100">
        <v>0.107</v>
      </c>
      <c r="U46" s="100">
        <v>7.0999999999999994E-2</v>
      </c>
      <c r="V46" s="100">
        <v>0.39300000000000002</v>
      </c>
      <c r="W46" s="100">
        <v>0.60699999999999998</v>
      </c>
      <c r="X46" s="100">
        <v>0.63200000000000001</v>
      </c>
      <c r="Y46" s="100">
        <v>0.186</v>
      </c>
      <c r="Z46" s="263"/>
    </row>
    <row r="47" spans="1:57" ht="26.1" customHeight="1">
      <c r="A47" s="279" t="s">
        <v>360</v>
      </c>
      <c r="B47" s="274">
        <v>0.6</v>
      </c>
      <c r="C47" s="274">
        <v>0.6</v>
      </c>
      <c r="D47" s="274">
        <v>0.6</v>
      </c>
      <c r="E47" s="274">
        <v>0.6</v>
      </c>
      <c r="F47" s="274">
        <v>0.6</v>
      </c>
      <c r="G47" s="274">
        <v>0.6</v>
      </c>
      <c r="H47" s="274">
        <v>0.6</v>
      </c>
      <c r="Q47" s="100">
        <v>5</v>
      </c>
      <c r="R47" s="100">
        <v>7.8E-2</v>
      </c>
      <c r="S47" s="100">
        <v>4.5999999999999999E-2</v>
      </c>
      <c r="T47" s="100">
        <v>0.105</v>
      </c>
      <c r="U47" s="100">
        <v>7.9000000000000001E-2</v>
      </c>
      <c r="V47" s="100">
        <v>0.39400000000000002</v>
      </c>
      <c r="W47" s="100">
        <v>0.60599999999999998</v>
      </c>
      <c r="X47" s="100">
        <v>0.64400000000000002</v>
      </c>
      <c r="Y47" s="100">
        <v>0.151</v>
      </c>
      <c r="Z47" s="263"/>
    </row>
    <row r="48" spans="1:57" ht="26.1" customHeight="1">
      <c r="A48" s="279" t="s">
        <v>361</v>
      </c>
      <c r="B48" s="274">
        <f>IF(B35&lt;25,1,VLOOKUP(B35,$L$57:$M$61,2,FALSE))</f>
        <v>1</v>
      </c>
      <c r="C48" s="274">
        <f t="shared" ref="C48:H48" si="99">IF(C35&lt;25,1,VLOOKUP(C35,$L$57:$M$61,2,FALSE))</f>
        <v>1</v>
      </c>
      <c r="D48" s="274">
        <f t="shared" si="99"/>
        <v>1</v>
      </c>
      <c r="E48" s="274">
        <f t="shared" si="99"/>
        <v>0.8</v>
      </c>
      <c r="F48" s="274">
        <f t="shared" si="99"/>
        <v>0.6</v>
      </c>
      <c r="G48" s="274">
        <f t="shared" si="99"/>
        <v>0.4</v>
      </c>
      <c r="H48" s="274">
        <f t="shared" si="99"/>
        <v>0.2</v>
      </c>
      <c r="Q48" s="100"/>
      <c r="R48" s="100"/>
      <c r="S48" s="100"/>
      <c r="T48" s="100"/>
      <c r="U48" s="100"/>
      <c r="V48" s="100"/>
      <c r="W48" s="100"/>
      <c r="X48" s="100"/>
      <c r="Y48" s="100"/>
      <c r="Z48" s="263"/>
    </row>
    <row r="49" spans="1:42" ht="26.1" customHeight="1">
      <c r="A49" s="279" t="s">
        <v>208</v>
      </c>
      <c r="B49" s="277">
        <f>ROUND(B45*(B43+B44)*$B$10/2,4)</f>
        <v>1.0649999999999999</v>
      </c>
      <c r="C49" s="277">
        <f t="shared" ref="C49:H49" si="100">ROUND(C45*(C43+C44)*$B$10/2,4)</f>
        <v>0.72619999999999996</v>
      </c>
      <c r="D49" s="277">
        <f t="shared" si="100"/>
        <v>0.94189999999999996</v>
      </c>
      <c r="E49" s="277">
        <f t="shared" si="100"/>
        <v>1.1268</v>
      </c>
      <c r="F49" s="277">
        <f t="shared" si="100"/>
        <v>1.1399999999999999</v>
      </c>
      <c r="G49" s="277">
        <f t="shared" si="100"/>
        <v>1.1355999999999999</v>
      </c>
      <c r="H49" s="277">
        <f t="shared" si="100"/>
        <v>1.206</v>
      </c>
      <c r="Q49" s="100"/>
      <c r="R49" s="100"/>
      <c r="S49" s="100"/>
      <c r="T49" s="100"/>
      <c r="U49" s="100"/>
      <c r="V49" s="100"/>
      <c r="W49" s="100"/>
      <c r="X49" s="100"/>
      <c r="Y49" s="100"/>
      <c r="Z49" s="263"/>
      <c r="AM49" s="269"/>
      <c r="AN49" s="269"/>
      <c r="AO49" s="269"/>
      <c r="AP49" s="269"/>
    </row>
    <row r="50" spans="1:42" ht="26.1" customHeight="1">
      <c r="A50" s="279" t="s">
        <v>209</v>
      </c>
      <c r="B50" s="277">
        <f>ROUND(B49*$B$32/$B$30,4)</f>
        <v>0.90390000000000004</v>
      </c>
      <c r="C50" s="277">
        <f t="shared" ref="C50:H50" si="101">ROUND(C49*$B$32/$B$30,4)</f>
        <v>0.61629999999999996</v>
      </c>
      <c r="D50" s="277">
        <f t="shared" si="101"/>
        <v>0.7994</v>
      </c>
      <c r="E50" s="277">
        <f t="shared" si="101"/>
        <v>0.95630000000000004</v>
      </c>
      <c r="F50" s="277">
        <f t="shared" si="101"/>
        <v>0.96750000000000003</v>
      </c>
      <c r="G50" s="277">
        <f t="shared" si="101"/>
        <v>0.96379999999999999</v>
      </c>
      <c r="H50" s="277">
        <f t="shared" si="101"/>
        <v>1.0236000000000001</v>
      </c>
      <c r="R50" s="263"/>
      <c r="Z50" s="263"/>
      <c r="AM50" s="269"/>
      <c r="AN50" s="269"/>
      <c r="AO50" s="269"/>
      <c r="AP50" s="269"/>
    </row>
    <row r="51" spans="1:42" ht="26.1" customHeight="1">
      <c r="A51" s="279" t="s">
        <v>210</v>
      </c>
      <c r="B51" s="277">
        <f>ROUND(B46*$B$32*$B$7*COS(RADIANS(B35))/100/$B$30,4)</f>
        <v>0.64929999999999999</v>
      </c>
      <c r="C51" s="277">
        <f t="shared" ref="C51:H51" si="102">ROUND(C46*$B$32*$B$7*COS(RADIANS(C35))/100/$B$30,4)</f>
        <v>0.64190000000000003</v>
      </c>
      <c r="D51" s="277">
        <f t="shared" si="102"/>
        <v>0.61250000000000004</v>
      </c>
      <c r="E51" s="277">
        <f t="shared" si="102"/>
        <v>0.5645</v>
      </c>
      <c r="F51" s="277">
        <f t="shared" si="102"/>
        <v>0.53390000000000004</v>
      </c>
      <c r="G51" s="277">
        <f t="shared" si="102"/>
        <v>0.49930000000000002</v>
      </c>
      <c r="H51" s="277">
        <f t="shared" si="102"/>
        <v>0.46089999999999998</v>
      </c>
      <c r="R51" s="263"/>
      <c r="Z51" s="263"/>
      <c r="AM51" s="269"/>
      <c r="AN51" s="269"/>
      <c r="AO51" s="269"/>
      <c r="AP51" s="269"/>
    </row>
    <row r="52" spans="1:42" ht="26.1" customHeight="1">
      <c r="A52" s="279" t="s">
        <v>212</v>
      </c>
      <c r="B52" s="277">
        <f>ROUND($B$22*B46*COS(RADIANS(B35)),4)</f>
        <v>0.1318</v>
      </c>
      <c r="C52" s="277">
        <f t="shared" ref="C52:H52" si="103">ROUND($B$22*C46*COS(RADIANS(C35)),4)</f>
        <v>0.1303</v>
      </c>
      <c r="D52" s="277">
        <f t="shared" si="103"/>
        <v>0.1244</v>
      </c>
      <c r="E52" s="277">
        <f t="shared" si="103"/>
        <v>0.11459999999999999</v>
      </c>
      <c r="F52" s="277">
        <f t="shared" si="103"/>
        <v>0.1084</v>
      </c>
      <c r="G52" s="277">
        <f t="shared" si="103"/>
        <v>0.1014</v>
      </c>
      <c r="H52" s="277">
        <f t="shared" si="103"/>
        <v>9.3600000000000003E-2</v>
      </c>
      <c r="R52" s="263"/>
      <c r="Z52" s="263"/>
      <c r="AM52" s="269"/>
      <c r="AN52" s="269"/>
      <c r="AO52" s="269"/>
      <c r="AP52" s="269"/>
    </row>
    <row r="53" spans="1:42" ht="26.1" customHeight="1">
      <c r="A53" s="279" t="s">
        <v>214</v>
      </c>
      <c r="B53" s="277">
        <f t="shared" ref="B53:H53" si="104">ROUND(B46*$B$141*$B$142*($B$32+1)*COS(RADIANS(B35))/$B$31,4)</f>
        <v>0.1135</v>
      </c>
      <c r="C53" s="277">
        <f t="shared" si="104"/>
        <v>0.11219999999999999</v>
      </c>
      <c r="D53" s="277">
        <f t="shared" si="104"/>
        <v>0.1071</v>
      </c>
      <c r="E53" s="277">
        <f t="shared" si="104"/>
        <v>9.8699999999999996E-2</v>
      </c>
      <c r="F53" s="277">
        <f t="shared" si="104"/>
        <v>9.3299999999999994E-2</v>
      </c>
      <c r="G53" s="277">
        <f t="shared" si="104"/>
        <v>8.7300000000000003E-2</v>
      </c>
      <c r="H53" s="277">
        <f t="shared" si="104"/>
        <v>8.0600000000000005E-2</v>
      </c>
      <c r="R53" s="263"/>
      <c r="Z53" s="263"/>
      <c r="AM53" s="269"/>
      <c r="AN53" s="269"/>
      <c r="AO53" s="269"/>
      <c r="AP53" s="269"/>
    </row>
    <row r="54" spans="1:42" ht="26.1" customHeight="1">
      <c r="A54" s="295" t="s">
        <v>215</v>
      </c>
      <c r="B54" s="296">
        <f>B50+B51+B52+B53</f>
        <v>1.7985</v>
      </c>
      <c r="C54" s="296">
        <f t="shared" ref="C54:H54" si="105">C50+C51+C52+C53</f>
        <v>1.5006999999999999</v>
      </c>
      <c r="D54" s="296">
        <f t="shared" si="105"/>
        <v>1.6434</v>
      </c>
      <c r="E54" s="296">
        <f t="shared" si="105"/>
        <v>1.7341</v>
      </c>
      <c r="F54" s="296">
        <f t="shared" si="105"/>
        <v>1.7031000000000001</v>
      </c>
      <c r="G54" s="296">
        <f t="shared" si="105"/>
        <v>1.6517999999999999</v>
      </c>
      <c r="H54" s="296">
        <f t="shared" si="105"/>
        <v>1.6587000000000001</v>
      </c>
      <c r="R54" s="263"/>
      <c r="Z54" s="263"/>
      <c r="AM54" s="269"/>
      <c r="AN54" s="269"/>
      <c r="AO54" s="269"/>
      <c r="AP54" s="269"/>
    </row>
    <row r="55" spans="1:42" ht="26.1" customHeight="1">
      <c r="A55" s="279" t="s">
        <v>362</v>
      </c>
      <c r="B55" s="277">
        <f>IF(B36="抗风模式",ROUND(B47*B45*$B$32*$B$4*$B$10*SIN(RADIANS(B35))/$B$31,4),0)</f>
        <v>9.9099999999999994E-2</v>
      </c>
      <c r="C55" s="277">
        <f t="shared" ref="C55:H55" si="106">IF(C36="抗风模式",ROUND(C47*C45*$B$32*$B$4*$B$10*SIN(RADIANS(C35))/$B$31,4),0)</f>
        <v>0</v>
      </c>
      <c r="D55" s="277">
        <f t="shared" si="106"/>
        <v>0</v>
      </c>
      <c r="E55" s="277">
        <f t="shared" si="106"/>
        <v>0</v>
      </c>
      <c r="F55" s="277">
        <f t="shared" si="106"/>
        <v>0</v>
      </c>
      <c r="G55" s="277">
        <f t="shared" si="106"/>
        <v>0</v>
      </c>
      <c r="H55" s="277">
        <f t="shared" si="106"/>
        <v>0</v>
      </c>
      <c r="R55" s="263"/>
      <c r="Z55" s="263"/>
      <c r="AM55" s="269"/>
      <c r="AN55" s="269"/>
      <c r="AO55" s="269"/>
      <c r="AP55" s="269"/>
    </row>
    <row r="56" spans="1:42" ht="26.1" customHeight="1">
      <c r="A56" s="279" t="s">
        <v>363</v>
      </c>
      <c r="B56" s="277">
        <f>ROUND(B46*$B$32*$B$7*SIN(RADIANS(B35))/100/$B$31,4)</f>
        <v>5.91E-2</v>
      </c>
      <c r="C56" s="277">
        <f t="shared" ref="C56:H56" si="107">ROUND(C46*$B$32*$B$7*SIN(RADIANS(C35))/100/$B$31,4)</f>
        <v>0.1177</v>
      </c>
      <c r="D56" s="277">
        <f t="shared" si="107"/>
        <v>0.2319</v>
      </c>
      <c r="E56" s="277">
        <f t="shared" si="107"/>
        <v>0.33889999999999998</v>
      </c>
      <c r="F56" s="277">
        <f t="shared" si="107"/>
        <v>0.38879999999999998</v>
      </c>
      <c r="G56" s="277">
        <f t="shared" si="107"/>
        <v>0.43569999999999998</v>
      </c>
      <c r="H56" s="277">
        <f t="shared" si="107"/>
        <v>0.4793</v>
      </c>
      <c r="L56" s="263" t="s">
        <v>364</v>
      </c>
      <c r="M56" s="263" t="s">
        <v>365</v>
      </c>
      <c r="R56" s="263"/>
      <c r="Z56" s="263"/>
      <c r="AM56" s="269"/>
      <c r="AN56" s="269"/>
      <c r="AO56" s="269"/>
      <c r="AP56" s="269"/>
    </row>
    <row r="57" spans="1:42" ht="26.1" customHeight="1">
      <c r="A57" s="279" t="s">
        <v>217</v>
      </c>
      <c r="B57" s="277">
        <f t="shared" ref="B57:H57" si="108">ROUND($B$22*B46*SIN(RADIANS(B35)),4)</f>
        <v>1.15E-2</v>
      </c>
      <c r="C57" s="277">
        <f t="shared" si="108"/>
        <v>2.3E-2</v>
      </c>
      <c r="D57" s="277">
        <f t="shared" si="108"/>
        <v>4.53E-2</v>
      </c>
      <c r="E57" s="277">
        <f t="shared" si="108"/>
        <v>6.6199999999999995E-2</v>
      </c>
      <c r="F57" s="277">
        <f t="shared" si="108"/>
        <v>7.5899999999999995E-2</v>
      </c>
      <c r="G57" s="277">
        <f t="shared" si="108"/>
        <v>8.5099999999999995E-2</v>
      </c>
      <c r="H57" s="277">
        <f t="shared" si="108"/>
        <v>9.3600000000000003E-2</v>
      </c>
      <c r="L57" s="263">
        <v>25</v>
      </c>
      <c r="M57" s="263">
        <v>1</v>
      </c>
      <c r="R57" s="263"/>
      <c r="Z57" s="263"/>
      <c r="AM57" s="269"/>
      <c r="AN57" s="269"/>
      <c r="AO57" s="269"/>
      <c r="AP57" s="269"/>
    </row>
    <row r="58" spans="1:42" ht="26.1" customHeight="1">
      <c r="A58" s="279" t="s">
        <v>218</v>
      </c>
      <c r="B58" s="277">
        <f t="shared" ref="B58:H58" si="109">ROUND(B46*$B$141*$B$142*($B$32+1)*SIN(RADIANS(B35))/$B$31,4)</f>
        <v>9.9000000000000008E-3</v>
      </c>
      <c r="C58" s="277">
        <f t="shared" si="109"/>
        <v>1.9800000000000002E-2</v>
      </c>
      <c r="D58" s="277">
        <f t="shared" si="109"/>
        <v>3.9E-2</v>
      </c>
      <c r="E58" s="277">
        <f t="shared" si="109"/>
        <v>5.7000000000000002E-2</v>
      </c>
      <c r="F58" s="277">
        <f t="shared" si="109"/>
        <v>6.5299999999999997E-2</v>
      </c>
      <c r="G58" s="277">
        <f t="shared" si="109"/>
        <v>7.3200000000000001E-2</v>
      </c>
      <c r="H58" s="277">
        <f t="shared" si="109"/>
        <v>8.0600000000000005E-2</v>
      </c>
      <c r="L58" s="263">
        <v>30</v>
      </c>
      <c r="M58" s="263">
        <v>0.8</v>
      </c>
      <c r="R58" s="263"/>
      <c r="Z58" s="263"/>
      <c r="AM58" s="269"/>
      <c r="AN58" s="269"/>
      <c r="AO58" s="269"/>
      <c r="AP58" s="269"/>
    </row>
    <row r="59" spans="1:42" ht="26.1" customHeight="1">
      <c r="A59" s="295" t="s">
        <v>366</v>
      </c>
      <c r="B59" s="296">
        <f>B56+B57+B58+B55</f>
        <v>0.17960000000000001</v>
      </c>
      <c r="C59" s="296">
        <f t="shared" ref="C59:H59" si="110">C56+C57+C58+C55</f>
        <v>0.1605</v>
      </c>
      <c r="D59" s="296">
        <f t="shared" si="110"/>
        <v>0.31619999999999998</v>
      </c>
      <c r="E59" s="296">
        <f t="shared" si="110"/>
        <v>0.46210000000000001</v>
      </c>
      <c r="F59" s="296">
        <f t="shared" si="110"/>
        <v>0.53</v>
      </c>
      <c r="G59" s="296">
        <f t="shared" si="110"/>
        <v>0.59399999999999997</v>
      </c>
      <c r="H59" s="296">
        <f t="shared" si="110"/>
        <v>0.65349999999999997</v>
      </c>
      <c r="L59" s="263">
        <v>35</v>
      </c>
      <c r="M59" s="263">
        <v>0.6</v>
      </c>
      <c r="R59" s="263"/>
      <c r="Z59" s="263"/>
      <c r="AM59" s="269"/>
      <c r="AN59" s="269"/>
      <c r="AO59" s="269"/>
      <c r="AP59" s="269"/>
    </row>
    <row r="60" spans="1:42" ht="26.1" customHeight="1">
      <c r="A60" s="297" t="s">
        <v>220</v>
      </c>
      <c r="B60" s="298">
        <f>ABS(ROUND($G$29*B54*$B$29^2,4))</f>
        <v>11.510400000000001</v>
      </c>
      <c r="C60" s="298">
        <f t="shared" ref="C60:H60" si="111">ABS(ROUND($G$29*C54*$B$29^2,4))</f>
        <v>9.6044999999999998</v>
      </c>
      <c r="D60" s="298">
        <f t="shared" si="111"/>
        <v>10.517799999999999</v>
      </c>
      <c r="E60" s="298">
        <f t="shared" si="111"/>
        <v>11.0982</v>
      </c>
      <c r="F60" s="298">
        <f t="shared" si="111"/>
        <v>10.899800000000001</v>
      </c>
      <c r="G60" s="298">
        <f t="shared" si="111"/>
        <v>10.5715</v>
      </c>
      <c r="H60" s="298">
        <f t="shared" si="111"/>
        <v>10.6157</v>
      </c>
      <c r="L60" s="263">
        <v>40</v>
      </c>
      <c r="M60" s="263">
        <v>0.4</v>
      </c>
      <c r="R60" s="263"/>
      <c r="Z60" s="263"/>
      <c r="AM60" s="269"/>
      <c r="AN60" s="269"/>
      <c r="AO60" s="269"/>
      <c r="AP60" s="269"/>
    </row>
    <row r="61" spans="1:42" ht="26.1" customHeight="1">
      <c r="A61" s="297" t="s">
        <v>221</v>
      </c>
      <c r="B61" s="298">
        <f>ABS(ROUND($G$30*B54*$B$30^2,4))</f>
        <v>10.9421</v>
      </c>
      <c r="C61" s="298">
        <f t="shared" ref="C61:H61" si="112">ABS(ROUND($G$30*C54*$B$30^2,4))</f>
        <v>9.1303000000000001</v>
      </c>
      <c r="D61" s="298">
        <f t="shared" si="112"/>
        <v>9.9984000000000002</v>
      </c>
      <c r="E61" s="298">
        <f t="shared" si="112"/>
        <v>10.5503</v>
      </c>
      <c r="F61" s="298">
        <f t="shared" si="112"/>
        <v>10.361700000000001</v>
      </c>
      <c r="G61" s="298">
        <f t="shared" si="112"/>
        <v>10.0496</v>
      </c>
      <c r="H61" s="298">
        <f t="shared" si="112"/>
        <v>10.0915</v>
      </c>
      <c r="L61" s="263">
        <v>45</v>
      </c>
      <c r="M61" s="263">
        <v>0.2</v>
      </c>
      <c r="R61" s="263"/>
      <c r="Z61" s="263"/>
      <c r="AM61" s="269"/>
      <c r="AN61" s="269"/>
      <c r="AO61" s="269"/>
      <c r="AP61" s="269"/>
    </row>
    <row r="62" spans="1:42" ht="26.1" customHeight="1">
      <c r="A62" s="299" t="s">
        <v>227</v>
      </c>
      <c r="B62" s="300">
        <f>ABS(ROUND($G$29*B59*$B$30^2,4))</f>
        <v>1.0927</v>
      </c>
      <c r="C62" s="300">
        <f t="shared" ref="C62:H62" si="113">ABS(ROUND($G$29*C59*$B$30^2,4))</f>
        <v>0.97650000000000003</v>
      </c>
      <c r="D62" s="300">
        <f t="shared" si="113"/>
        <v>1.9238</v>
      </c>
      <c r="E62" s="300">
        <f t="shared" si="113"/>
        <v>2.8113999999999999</v>
      </c>
      <c r="F62" s="300">
        <f t="shared" si="113"/>
        <v>3.2244999999999999</v>
      </c>
      <c r="G62" s="300">
        <f t="shared" si="113"/>
        <v>3.6139000000000001</v>
      </c>
      <c r="H62" s="300">
        <f t="shared" si="113"/>
        <v>3.9759000000000002</v>
      </c>
      <c r="R62" s="263"/>
      <c r="Z62" s="263"/>
      <c r="AM62" s="269"/>
      <c r="AN62" s="269"/>
      <c r="AO62" s="269"/>
      <c r="AP62" s="269"/>
    </row>
    <row r="63" spans="1:42" ht="26.1" customHeight="1">
      <c r="A63" s="299" t="s">
        <v>228</v>
      </c>
      <c r="B63" s="300">
        <f>ABS(ROUND($G$30*B59*$B$30^2,4))</f>
        <v>1.0927</v>
      </c>
      <c r="C63" s="300">
        <f t="shared" ref="C63:H63" si="114">ABS(ROUND($G$30*C59*$B$30^2,4))</f>
        <v>0.97650000000000003</v>
      </c>
      <c r="D63" s="300">
        <f t="shared" si="114"/>
        <v>1.9238</v>
      </c>
      <c r="E63" s="300">
        <f t="shared" si="114"/>
        <v>2.8113999999999999</v>
      </c>
      <c r="F63" s="300">
        <f t="shared" si="114"/>
        <v>3.2244999999999999</v>
      </c>
      <c r="G63" s="300">
        <f t="shared" si="114"/>
        <v>3.6139000000000001</v>
      </c>
      <c r="H63" s="300">
        <f t="shared" si="114"/>
        <v>3.9759000000000002</v>
      </c>
      <c r="R63" s="263"/>
      <c r="Z63" s="263"/>
      <c r="AM63" s="269"/>
      <c r="AN63" s="269"/>
      <c r="AO63" s="269"/>
      <c r="AP63" s="269"/>
    </row>
    <row r="64" spans="1:42" ht="26.1" customHeight="1">
      <c r="A64" s="301" t="s">
        <v>367</v>
      </c>
      <c r="B64" s="302">
        <f>ABS(ROUND($G$31*B54*$B$29,4))</f>
        <v>5.7552000000000003</v>
      </c>
      <c r="C64" s="302">
        <f t="shared" ref="C64:H64" si="115">ABS(ROUND($G$31*C54*$B$29,4))</f>
        <v>4.8022</v>
      </c>
      <c r="D64" s="302">
        <f t="shared" si="115"/>
        <v>5.2588999999999997</v>
      </c>
      <c r="E64" s="302">
        <f t="shared" si="115"/>
        <v>5.5491000000000001</v>
      </c>
      <c r="F64" s="302">
        <f t="shared" si="115"/>
        <v>5.4499000000000004</v>
      </c>
      <c r="G64" s="302">
        <f t="shared" si="115"/>
        <v>5.2858000000000001</v>
      </c>
      <c r="H64" s="302">
        <f t="shared" si="115"/>
        <v>5.3078000000000003</v>
      </c>
      <c r="R64" s="263"/>
      <c r="Z64" s="263"/>
      <c r="AM64" s="269"/>
      <c r="AN64" s="269"/>
      <c r="AO64" s="269"/>
      <c r="AP64" s="269"/>
    </row>
    <row r="65" spans="1:42" ht="26.1" customHeight="1">
      <c r="A65" s="301" t="s">
        <v>368</v>
      </c>
      <c r="B65" s="302">
        <f>ABS(ROUND($G$32*B54*$B$30,4))</f>
        <v>8.4169999999999998</v>
      </c>
      <c r="C65" s="302">
        <f t="shared" ref="C65:H65" si="116">ABS(ROUND($G$32*C54*$B$30,4))</f>
        <v>7.0232999999999999</v>
      </c>
      <c r="D65" s="302">
        <f t="shared" si="116"/>
        <v>7.6910999999999996</v>
      </c>
      <c r="E65" s="302">
        <f t="shared" si="116"/>
        <v>8.1156000000000006</v>
      </c>
      <c r="F65" s="302">
        <f t="shared" si="116"/>
        <v>7.9705000000000004</v>
      </c>
      <c r="G65" s="302">
        <f t="shared" si="116"/>
        <v>7.7304000000000004</v>
      </c>
      <c r="H65" s="302">
        <f t="shared" si="116"/>
        <v>7.7626999999999997</v>
      </c>
      <c r="R65" s="263"/>
      <c r="Z65" s="263"/>
      <c r="AM65" s="269"/>
      <c r="AN65" s="269"/>
      <c r="AO65" s="269"/>
      <c r="AP65" s="269"/>
    </row>
    <row r="66" spans="1:42" ht="26.1" customHeight="1">
      <c r="A66" s="304" t="s">
        <v>369</v>
      </c>
      <c r="B66" s="305">
        <f>ROUND($G$31*B59*$B$29,4)</f>
        <v>0.57469999999999999</v>
      </c>
      <c r="C66" s="305">
        <f t="shared" ref="C66:H66" si="117">ROUND($G$31*C59*$B$29,4)</f>
        <v>0.51359999999999995</v>
      </c>
      <c r="D66" s="305">
        <f t="shared" si="117"/>
        <v>1.0118</v>
      </c>
      <c r="E66" s="305">
        <f t="shared" si="117"/>
        <v>1.4786999999999999</v>
      </c>
      <c r="F66" s="305">
        <f t="shared" si="117"/>
        <v>1.696</v>
      </c>
      <c r="G66" s="305">
        <f t="shared" si="117"/>
        <v>1.9008</v>
      </c>
      <c r="H66" s="305">
        <f t="shared" si="117"/>
        <v>2.0912000000000002</v>
      </c>
      <c r="R66" s="263"/>
      <c r="Z66" s="263"/>
      <c r="AM66" s="269"/>
      <c r="AN66" s="269"/>
      <c r="AO66" s="269"/>
      <c r="AP66" s="269"/>
    </row>
    <row r="67" spans="1:42" ht="26.1" customHeight="1">
      <c r="A67" s="304" t="s">
        <v>370</v>
      </c>
      <c r="B67" s="305">
        <f>ROUND($G$32*B59*$B$30,4)</f>
        <v>0.84050000000000002</v>
      </c>
      <c r="C67" s="305">
        <f t="shared" ref="C67:H67" si="118">ROUND($G$32*C59*$B$30,4)</f>
        <v>0.75109999999999999</v>
      </c>
      <c r="D67" s="305">
        <f t="shared" si="118"/>
        <v>1.4798</v>
      </c>
      <c r="E67" s="305">
        <f t="shared" si="118"/>
        <v>2.1625999999999999</v>
      </c>
      <c r="F67" s="305">
        <f t="shared" si="118"/>
        <v>2.4803999999999999</v>
      </c>
      <c r="G67" s="305">
        <f t="shared" si="118"/>
        <v>2.7799</v>
      </c>
      <c r="H67" s="305">
        <f t="shared" si="118"/>
        <v>3.0583999999999998</v>
      </c>
      <c r="R67" s="263"/>
      <c r="Z67" s="263"/>
      <c r="AM67" s="269"/>
      <c r="AN67" s="269"/>
      <c r="AO67" s="269"/>
      <c r="AP67" s="269"/>
    </row>
    <row r="68" spans="1:42" ht="26.1" customHeight="1">
      <c r="A68" s="277" t="s">
        <v>371</v>
      </c>
      <c r="B68" s="277">
        <f>ROUND($B$34*$B$7*$B$33/100*SIN(RADIANS(B35)),2)</f>
        <v>0.09</v>
      </c>
      <c r="C68" s="277">
        <f t="shared" ref="C68:H68" si="119">ROUND($B$34*$B$7*$B$33/100*SIN(RADIANS(C35)),2)</f>
        <v>0.17</v>
      </c>
      <c r="D68" s="277">
        <f t="shared" si="119"/>
        <v>0.34</v>
      </c>
      <c r="E68" s="277">
        <f t="shared" si="119"/>
        <v>0.5</v>
      </c>
      <c r="F68" s="277">
        <f t="shared" si="119"/>
        <v>0.56999999999999995</v>
      </c>
      <c r="G68" s="277">
        <f t="shared" si="119"/>
        <v>0.64</v>
      </c>
      <c r="H68" s="277">
        <f t="shared" si="119"/>
        <v>0.71</v>
      </c>
      <c r="R68" s="263"/>
      <c r="Z68" s="263"/>
      <c r="AM68" s="269"/>
      <c r="AN68" s="269"/>
      <c r="AO68" s="269"/>
      <c r="AP68" s="269"/>
    </row>
    <row r="69" spans="1:42" ht="26.1" customHeight="1">
      <c r="A69" s="277" t="s">
        <v>243</v>
      </c>
      <c r="B69" s="277">
        <f t="shared" ref="B69:H69" si="120">ROUND(B38*$B$10*$B$9*$B$34*B45*B41*B42,4)</f>
        <v>5.4657999999999998</v>
      </c>
      <c r="C69" s="277">
        <f t="shared" si="120"/>
        <v>3.6661000000000001</v>
      </c>
      <c r="D69" s="277">
        <f t="shared" si="120"/>
        <v>3.5112000000000001</v>
      </c>
      <c r="E69" s="277">
        <f t="shared" si="120"/>
        <v>3.9243000000000001</v>
      </c>
      <c r="F69" s="277">
        <f t="shared" si="120"/>
        <v>3.7694000000000001</v>
      </c>
      <c r="G69" s="277">
        <f t="shared" si="120"/>
        <v>3.8210000000000002</v>
      </c>
      <c r="H69" s="277">
        <f t="shared" si="120"/>
        <v>2.9948000000000001</v>
      </c>
      <c r="R69" s="263"/>
      <c r="Z69" s="263"/>
      <c r="AM69" s="269"/>
      <c r="AN69" s="269"/>
      <c r="AO69" s="269"/>
      <c r="AP69" s="269"/>
    </row>
    <row r="70" spans="1:42" ht="26.1" customHeight="1">
      <c r="A70" s="277" t="s">
        <v>245</v>
      </c>
      <c r="B70" s="277">
        <f>B68+B69</f>
        <v>5.5557999999999996</v>
      </c>
      <c r="C70" s="277">
        <f t="shared" ref="C70:H70" si="121">C68+C69</f>
        <v>3.8361000000000001</v>
      </c>
      <c r="D70" s="277">
        <f t="shared" si="121"/>
        <v>3.8512</v>
      </c>
      <c r="E70" s="277">
        <f t="shared" si="121"/>
        <v>4.4242999999999997</v>
      </c>
      <c r="F70" s="277">
        <f t="shared" si="121"/>
        <v>4.3394000000000004</v>
      </c>
      <c r="G70" s="277">
        <f t="shared" si="121"/>
        <v>4.4610000000000003</v>
      </c>
      <c r="H70" s="277">
        <f t="shared" si="121"/>
        <v>3.7048000000000001</v>
      </c>
      <c r="R70" s="263"/>
      <c r="Z70" s="263"/>
      <c r="AM70" s="269"/>
      <c r="AN70" s="269"/>
      <c r="AO70" s="269"/>
      <c r="AP70" s="269"/>
    </row>
    <row r="71" spans="1:42" ht="26.1" customHeight="1">
      <c r="A71" s="389" t="s">
        <v>247</v>
      </c>
      <c r="B71" s="389"/>
      <c r="C71" s="389"/>
      <c r="D71" s="389"/>
      <c r="E71" s="389"/>
      <c r="F71" s="389"/>
      <c r="G71" s="389"/>
      <c r="H71" s="389"/>
      <c r="R71" s="263"/>
      <c r="Z71" s="263"/>
      <c r="AM71" s="269"/>
      <c r="AN71" s="269"/>
      <c r="AO71" s="269"/>
      <c r="AP71" s="269"/>
    </row>
    <row r="72" spans="1:42" ht="26.1" customHeight="1">
      <c r="A72" s="395"/>
      <c r="B72" s="395"/>
      <c r="C72" s="395"/>
      <c r="D72" s="395"/>
      <c r="E72" s="395"/>
      <c r="F72" s="395"/>
      <c r="G72" s="395"/>
      <c r="H72" s="395"/>
      <c r="R72" s="263"/>
      <c r="Z72" s="263"/>
      <c r="AM72" s="269"/>
      <c r="AN72" s="269"/>
      <c r="AO72" s="269"/>
      <c r="AP72" s="269"/>
    </row>
    <row r="73" spans="1:42" ht="26.1" customHeight="1">
      <c r="A73" s="395"/>
      <c r="B73" s="395"/>
      <c r="C73" s="395"/>
      <c r="D73" s="395"/>
      <c r="E73" s="395"/>
      <c r="F73" s="395"/>
      <c r="G73" s="395"/>
      <c r="H73" s="395"/>
      <c r="R73" s="263"/>
      <c r="Z73" s="263"/>
      <c r="AM73" s="269"/>
      <c r="AN73" s="269"/>
      <c r="AO73" s="269"/>
      <c r="AP73" s="269"/>
    </row>
    <row r="74" spans="1:42" ht="26.1" customHeight="1">
      <c r="A74" s="396"/>
      <c r="B74" s="396"/>
      <c r="C74" s="396"/>
      <c r="D74" s="396"/>
      <c r="E74" s="396"/>
      <c r="F74" s="396"/>
      <c r="G74" s="396"/>
      <c r="H74" s="396"/>
      <c r="R74" s="263"/>
      <c r="Z74" s="263"/>
      <c r="AM74" s="269"/>
      <c r="AN74" s="269"/>
      <c r="AO74" s="269"/>
      <c r="AP74" s="269"/>
    </row>
    <row r="75" spans="1:42" ht="26.1" customHeight="1">
      <c r="A75" s="276" t="s">
        <v>248</v>
      </c>
      <c r="B75" s="277">
        <f t="shared" ref="B75:H75" si="122">ROUND(MAX(B60:B61)*1000000/$B$17+MAX(B62:B63)*1000000/$B$18,2)</f>
        <v>230.44</v>
      </c>
      <c r="C75" s="277">
        <f t="shared" si="122"/>
        <v>193.06</v>
      </c>
      <c r="D75" s="277">
        <f t="shared" si="122"/>
        <v>221.71</v>
      </c>
      <c r="E75" s="277">
        <f t="shared" si="122"/>
        <v>243.34</v>
      </c>
      <c r="F75" s="277">
        <f t="shared" si="122"/>
        <v>244.57</v>
      </c>
      <c r="G75" s="277">
        <f t="shared" si="122"/>
        <v>243.06</v>
      </c>
      <c r="H75" s="277">
        <f t="shared" si="122"/>
        <v>248.25</v>
      </c>
      <c r="R75" s="263"/>
      <c r="Z75" s="263"/>
      <c r="AM75" s="269"/>
      <c r="AN75" s="269"/>
      <c r="AO75" s="269"/>
      <c r="AP75" s="269"/>
    </row>
    <row r="76" spans="1:42" ht="26.1" customHeight="1">
      <c r="A76" s="277" t="s">
        <v>249</v>
      </c>
      <c r="B76" s="277">
        <f>ROUND(SQRT(MAX(B60:B61)^2+MAX(B62:B63)^2)*1000*$B$23,2)</f>
        <v>17.05</v>
      </c>
      <c r="C76" s="277">
        <f t="shared" ref="C76:H76" si="123">ROUND(SQRT(MAX(C60:C61)^2+MAX(C62:C63)^2)*1000*$B$23,2)</f>
        <v>14.23</v>
      </c>
      <c r="D76" s="277">
        <f t="shared" si="123"/>
        <v>15.77</v>
      </c>
      <c r="E76" s="277">
        <f t="shared" si="123"/>
        <v>16.88</v>
      </c>
      <c r="F76" s="277">
        <f t="shared" si="123"/>
        <v>16.760000000000002</v>
      </c>
      <c r="G76" s="277">
        <f t="shared" si="123"/>
        <v>16.47</v>
      </c>
      <c r="H76" s="277">
        <f t="shared" si="123"/>
        <v>16.71</v>
      </c>
      <c r="R76" s="263"/>
      <c r="Z76" s="263"/>
      <c r="AM76" s="269"/>
      <c r="AN76" s="269"/>
      <c r="AO76" s="269"/>
      <c r="AP76" s="269"/>
    </row>
    <row r="77" spans="1:42" ht="26.1" customHeight="1">
      <c r="A77" s="307" t="s">
        <v>250</v>
      </c>
      <c r="B77" s="277">
        <f>ROUND(B70*1000000*$B$24,2)</f>
        <v>59.64</v>
      </c>
      <c r="C77" s="277">
        <f t="shared" ref="C77:H77" si="124">ROUND(C70*1000000*$B$24,2)</f>
        <v>41.18</v>
      </c>
      <c r="D77" s="277">
        <f t="shared" si="124"/>
        <v>41.34</v>
      </c>
      <c r="E77" s="277">
        <f t="shared" si="124"/>
        <v>47.5</v>
      </c>
      <c r="F77" s="277">
        <f t="shared" si="124"/>
        <v>46.58</v>
      </c>
      <c r="G77" s="277">
        <f t="shared" si="124"/>
        <v>47.89</v>
      </c>
      <c r="H77" s="277">
        <f t="shared" si="124"/>
        <v>39.770000000000003</v>
      </c>
      <c r="R77" s="263"/>
      <c r="Z77" s="263"/>
      <c r="AM77" s="269"/>
      <c r="AN77" s="269"/>
      <c r="AO77" s="269"/>
      <c r="AP77" s="269"/>
    </row>
    <row r="78" spans="1:42" ht="26.1" customHeight="1">
      <c r="A78" s="276" t="s">
        <v>251</v>
      </c>
      <c r="B78" s="277">
        <f>ROUND(SQRT(B75^2+3*(B76+B77)^2),2)</f>
        <v>265.98</v>
      </c>
      <c r="C78" s="277">
        <f t="shared" ref="C78:H78" si="125">ROUND(SQRT(C75^2+3*(C76+C77)^2),2)</f>
        <v>215.6</v>
      </c>
      <c r="D78" s="277">
        <f t="shared" si="125"/>
        <v>242.78</v>
      </c>
      <c r="E78" s="277">
        <f t="shared" si="125"/>
        <v>267.67</v>
      </c>
      <c r="F78" s="277">
        <f t="shared" si="125"/>
        <v>268.05</v>
      </c>
      <c r="G78" s="277">
        <f t="shared" si="125"/>
        <v>267.39999999999998</v>
      </c>
      <c r="H78" s="277">
        <f t="shared" si="125"/>
        <v>266.83</v>
      </c>
      <c r="R78" s="263"/>
      <c r="Z78" s="263"/>
      <c r="AM78" s="269"/>
      <c r="AN78" s="269"/>
      <c r="AO78" s="269"/>
      <c r="AP78" s="269"/>
    </row>
    <row r="79" spans="1:42" ht="26.1" customHeight="1">
      <c r="A79" s="278" t="s">
        <v>252</v>
      </c>
      <c r="B79" s="308">
        <f>B78/$B$16</f>
        <v>0.70365079365079397</v>
      </c>
      <c r="C79" s="308">
        <f t="shared" ref="C79:H79" si="126">C78/$B$16</f>
        <v>0.57037037037036997</v>
      </c>
      <c r="D79" s="308">
        <f t="shared" si="126"/>
        <v>0.642275132275132</v>
      </c>
      <c r="E79" s="308">
        <f t="shared" si="126"/>
        <v>0.70812169312169304</v>
      </c>
      <c r="F79" s="308">
        <f t="shared" si="126"/>
        <v>0.70912698412698405</v>
      </c>
      <c r="G79" s="308">
        <f t="shared" si="126"/>
        <v>0.70740740740740704</v>
      </c>
      <c r="H79" s="308">
        <f t="shared" si="126"/>
        <v>0.70589947089947103</v>
      </c>
      <c r="J79" s="283" t="s">
        <v>253</v>
      </c>
      <c r="R79" s="263"/>
      <c r="Z79" s="263"/>
      <c r="AM79" s="269"/>
      <c r="AN79" s="269"/>
      <c r="AO79" s="269"/>
      <c r="AP79" s="269"/>
    </row>
    <row r="80" spans="1:42" ht="26.1" customHeight="1">
      <c r="A80" s="291" t="s">
        <v>372</v>
      </c>
      <c r="B80" s="267"/>
      <c r="C80" s="267"/>
      <c r="J80" s="272" t="s">
        <v>188</v>
      </c>
      <c r="K80" s="390" t="s">
        <v>255</v>
      </c>
      <c r="L80" s="390"/>
      <c r="M80" s="390"/>
      <c r="N80" s="391" t="s">
        <v>256</v>
      </c>
      <c r="O80" s="391"/>
      <c r="P80" s="391"/>
      <c r="R80" s="263"/>
      <c r="T80" s="272" t="s">
        <v>188</v>
      </c>
      <c r="U80" s="390" t="s">
        <v>255</v>
      </c>
      <c r="V80" s="390"/>
      <c r="W80" s="390"/>
      <c r="X80" s="390" t="s">
        <v>256</v>
      </c>
      <c r="Y80" s="390"/>
      <c r="Z80" s="390"/>
      <c r="AM80" s="269"/>
      <c r="AN80" s="269"/>
      <c r="AO80" s="269"/>
      <c r="AP80" s="269"/>
    </row>
    <row r="81" spans="1:42" ht="26.1" customHeight="1">
      <c r="A81" s="271"/>
      <c r="B81" s="267"/>
      <c r="C81" s="267"/>
      <c r="J81" s="284" t="s">
        <v>257</v>
      </c>
      <c r="K81" s="277" t="s">
        <v>258</v>
      </c>
      <c r="L81" s="277" t="s">
        <v>259</v>
      </c>
      <c r="M81" s="277" t="s">
        <v>260</v>
      </c>
      <c r="N81" s="277" t="s">
        <v>258</v>
      </c>
      <c r="O81" s="277" t="s">
        <v>259</v>
      </c>
      <c r="P81" s="277" t="s">
        <v>260</v>
      </c>
      <c r="R81" s="263"/>
      <c r="T81" s="286" t="s">
        <v>261</v>
      </c>
      <c r="U81" s="277" t="s">
        <v>258</v>
      </c>
      <c r="V81" s="277" t="s">
        <v>259</v>
      </c>
      <c r="W81" s="277" t="s">
        <v>260</v>
      </c>
      <c r="X81" s="277" t="s">
        <v>258</v>
      </c>
      <c r="Y81" s="277" t="s">
        <v>259</v>
      </c>
      <c r="Z81" s="277" t="s">
        <v>260</v>
      </c>
      <c r="AM81" s="269"/>
      <c r="AN81" s="269"/>
      <c r="AO81" s="269"/>
      <c r="AP81" s="269"/>
    </row>
    <row r="82" spans="1:42" ht="26.1" customHeight="1">
      <c r="A82" s="271"/>
      <c r="B82" s="267"/>
      <c r="C82" s="267"/>
      <c r="J82" s="277">
        <v>0</v>
      </c>
      <c r="K82" s="285">
        <v>0.04</v>
      </c>
      <c r="L82" s="285">
        <v>7.0000000000000007E-2</v>
      </c>
      <c r="M82" s="277">
        <f>ABS((L82-K82)/8)</f>
        <v>3.7499999999999999E-3</v>
      </c>
      <c r="N82" s="274">
        <v>0.04</v>
      </c>
      <c r="O82" s="274">
        <v>7.0000000000000007E-2</v>
      </c>
      <c r="P82" s="277">
        <f>ABS((O82-N82)/8)</f>
        <v>3.7499999999999999E-3</v>
      </c>
      <c r="R82" s="263"/>
      <c r="T82" s="277">
        <v>0</v>
      </c>
      <c r="U82" s="277">
        <f>IF($E$33="自定义",K82,0.04)</f>
        <v>0.04</v>
      </c>
      <c r="V82" s="277">
        <f>IF($E$33="自定义",L82,0.07)</f>
        <v>7.0000000000000007E-2</v>
      </c>
      <c r="W82" s="277">
        <f>ABS((V82-U82)/8)</f>
        <v>3.7499999999999999E-3</v>
      </c>
      <c r="X82" s="277">
        <f>IF($E$33="自定义",N82,0.04)</f>
        <v>0.04</v>
      </c>
      <c r="Y82" s="277">
        <f>IF($E$33="自定义",O82,0.07)</f>
        <v>7.0000000000000007E-2</v>
      </c>
      <c r="Z82" s="277">
        <f>ABS((Y82-X82)/8)</f>
        <v>3.7499999999999999E-3</v>
      </c>
      <c r="AM82" s="269"/>
      <c r="AN82" s="269"/>
      <c r="AO82" s="269"/>
      <c r="AP82" s="269"/>
    </row>
    <row r="83" spans="1:42" ht="26.1" customHeight="1">
      <c r="A83" s="271"/>
      <c r="B83" s="267"/>
      <c r="C83" s="267"/>
      <c r="J83" s="277">
        <v>5</v>
      </c>
      <c r="K83" s="285">
        <v>0.12</v>
      </c>
      <c r="L83" s="285">
        <v>0.41</v>
      </c>
      <c r="M83" s="277">
        <f t="shared" ref="M83:M94" si="127">ABS((L83-K83)/8)</f>
        <v>3.6249999999999998E-2</v>
      </c>
      <c r="N83" s="274">
        <v>0.41</v>
      </c>
      <c r="O83" s="274">
        <v>0.12</v>
      </c>
      <c r="P83" s="277">
        <f t="shared" ref="P83:P94" si="128">ABS((O83-N83)/8)</f>
        <v>3.6249999999999998E-2</v>
      </c>
      <c r="R83" s="263"/>
      <c r="T83" s="277">
        <v>5</v>
      </c>
      <c r="U83" s="277">
        <f>IF($E$33="自定义",K83,0.12)</f>
        <v>0.12</v>
      </c>
      <c r="V83" s="277">
        <f>IF($E$33="自定义",L83,0.41)</f>
        <v>0.41</v>
      </c>
      <c r="W83" s="277">
        <f t="shared" ref="W83:W94" si="129">ABS((V83-U83)/8)</f>
        <v>3.6249999999999998E-2</v>
      </c>
      <c r="X83" s="277">
        <f>IF($E$33="自定义",N83,0.41)</f>
        <v>0.41</v>
      </c>
      <c r="Y83" s="277">
        <f>IF($E$33="自定义",O83,0.12)</f>
        <v>0.12</v>
      </c>
      <c r="Z83" s="277">
        <f t="shared" ref="Z83:Z94" si="130">ABS((Y83-X83)/8)</f>
        <v>3.6249999999999998E-2</v>
      </c>
      <c r="AM83" s="269"/>
      <c r="AN83" s="269"/>
      <c r="AO83" s="269"/>
      <c r="AP83" s="269"/>
    </row>
    <row r="84" spans="1:42" ht="26.1" customHeight="1">
      <c r="A84" s="267" t="s">
        <v>157</v>
      </c>
      <c r="B84" s="263">
        <f t="shared" ref="B84:B91" si="131">B29</f>
        <v>8</v>
      </c>
      <c r="C84" s="271" t="s">
        <v>36</v>
      </c>
      <c r="F84" s="263" t="s">
        <v>39</v>
      </c>
      <c r="G84" s="263">
        <f>G29</f>
        <v>0.1</v>
      </c>
      <c r="J84" s="277">
        <v>10</v>
      </c>
      <c r="K84" s="285">
        <v>0.14000000000000001</v>
      </c>
      <c r="L84" s="285">
        <v>0.38</v>
      </c>
      <c r="M84" s="277">
        <f t="shared" si="127"/>
        <v>0.03</v>
      </c>
      <c r="N84" s="274">
        <v>0.38</v>
      </c>
      <c r="O84" s="274">
        <v>0.14000000000000001</v>
      </c>
      <c r="P84" s="277">
        <f t="shared" si="128"/>
        <v>0.03</v>
      </c>
      <c r="R84" s="263"/>
      <c r="T84" s="277">
        <v>10</v>
      </c>
      <c r="U84" s="277">
        <f>IF($E$33="自定义",K84,0.14)</f>
        <v>0.14000000000000001</v>
      </c>
      <c r="V84" s="277">
        <f>IF($E$33="自定义",L84,0.38)</f>
        <v>0.38</v>
      </c>
      <c r="W84" s="277">
        <f t="shared" si="129"/>
        <v>0.03</v>
      </c>
      <c r="X84" s="277">
        <f>IF($E$33="自定义",N84,0.38)</f>
        <v>0.38</v>
      </c>
      <c r="Y84" s="277">
        <f>IF($E$33="自定义",O84,0.14)</f>
        <v>0.14000000000000001</v>
      </c>
      <c r="Z84" s="277">
        <f t="shared" si="130"/>
        <v>0.03</v>
      </c>
      <c r="AM84" s="269"/>
      <c r="AN84" s="269"/>
      <c r="AO84" s="269"/>
      <c r="AP84" s="269"/>
    </row>
    <row r="85" spans="1:42" ht="26.1" customHeight="1">
      <c r="A85" s="267" t="s">
        <v>162</v>
      </c>
      <c r="B85" s="263">
        <f t="shared" si="131"/>
        <v>7.8</v>
      </c>
      <c r="C85" s="271" t="s">
        <v>36</v>
      </c>
      <c r="F85" s="263" t="s">
        <v>42</v>
      </c>
      <c r="G85" s="263">
        <f>G30</f>
        <v>0.1</v>
      </c>
      <c r="J85" s="277">
        <v>15</v>
      </c>
      <c r="K85" s="285">
        <v>0.25</v>
      </c>
      <c r="L85" s="285">
        <v>0.61</v>
      </c>
      <c r="M85" s="277">
        <f t="shared" si="127"/>
        <v>4.4999999999999998E-2</v>
      </c>
      <c r="N85" s="274">
        <v>0.61</v>
      </c>
      <c r="O85" s="274">
        <v>0.25</v>
      </c>
      <c r="P85" s="277">
        <f t="shared" si="128"/>
        <v>4.4999999999999998E-2</v>
      </c>
      <c r="R85" s="263"/>
      <c r="T85" s="277">
        <v>15</v>
      </c>
      <c r="U85" s="277">
        <f>IF($E$33="自定义",K85,0.25)</f>
        <v>0.25</v>
      </c>
      <c r="V85" s="277">
        <f>IF($E$33="自定义",L85,0.61)</f>
        <v>0.61</v>
      </c>
      <c r="W85" s="277">
        <f t="shared" si="129"/>
        <v>4.4999999999999998E-2</v>
      </c>
      <c r="X85" s="277">
        <f>IF($E$33="自定义",N85,0.61)</f>
        <v>0.61</v>
      </c>
      <c r="Y85" s="277">
        <f>IF($E$33="自定义",O85,0.25)</f>
        <v>0.25</v>
      </c>
      <c r="Z85" s="277">
        <f t="shared" si="130"/>
        <v>4.4999999999999998E-2</v>
      </c>
      <c r="AM85" s="269"/>
      <c r="AN85" s="269"/>
      <c r="AO85" s="269"/>
      <c r="AP85" s="269"/>
    </row>
    <row r="86" spans="1:42" ht="26.1" customHeight="1">
      <c r="A86" s="267" t="s">
        <v>177</v>
      </c>
      <c r="B86" s="263">
        <f t="shared" si="131"/>
        <v>7.5</v>
      </c>
      <c r="C86" s="271" t="s">
        <v>36</v>
      </c>
      <c r="D86" s="269"/>
      <c r="E86" s="269"/>
      <c r="F86" s="263" t="s">
        <v>45</v>
      </c>
      <c r="G86" s="263">
        <f>G31</f>
        <v>0.4</v>
      </c>
      <c r="J86" s="277">
        <v>20</v>
      </c>
      <c r="K86" s="285">
        <v>0.39</v>
      </c>
      <c r="L86" s="285">
        <v>0.87</v>
      </c>
      <c r="M86" s="277">
        <f t="shared" si="127"/>
        <v>0.06</v>
      </c>
      <c r="N86" s="274">
        <v>0.87</v>
      </c>
      <c r="O86" s="274">
        <v>0.39</v>
      </c>
      <c r="P86" s="277">
        <f t="shared" si="128"/>
        <v>0.06</v>
      </c>
      <c r="R86" s="263"/>
      <c r="T86" s="277">
        <v>20</v>
      </c>
      <c r="U86" s="277">
        <f>IF($E$33="自定义",K86,0.39)</f>
        <v>0.39</v>
      </c>
      <c r="V86" s="277">
        <f>IF($E$33="自定义",L86,0.87)</f>
        <v>0.87</v>
      </c>
      <c r="W86" s="277">
        <f t="shared" si="129"/>
        <v>0.06</v>
      </c>
      <c r="X86" s="277">
        <f>IF($E$33="自定义",N86,0.87)</f>
        <v>0.87</v>
      </c>
      <c r="Y86" s="277">
        <f>IF($E$33="自定义",O86,0.39)</f>
        <v>0.39</v>
      </c>
      <c r="Z86" s="277">
        <f t="shared" si="130"/>
        <v>0.06</v>
      </c>
      <c r="AM86" s="269"/>
      <c r="AN86" s="269"/>
      <c r="AO86" s="269"/>
      <c r="AP86" s="269"/>
    </row>
    <row r="87" spans="1:42" ht="26.1" customHeight="1">
      <c r="A87" s="267" t="s">
        <v>179</v>
      </c>
      <c r="B87" s="263">
        <f t="shared" si="131"/>
        <v>6.62</v>
      </c>
      <c r="C87" s="267"/>
      <c r="F87" s="263" t="s">
        <v>180</v>
      </c>
      <c r="G87" s="263">
        <f>G32</f>
        <v>0.6</v>
      </c>
      <c r="J87" s="277">
        <v>25</v>
      </c>
      <c r="K87" s="285">
        <v>0.52</v>
      </c>
      <c r="L87" s="285">
        <v>1.1599999999999999</v>
      </c>
      <c r="M87" s="277">
        <f t="shared" si="127"/>
        <v>0.08</v>
      </c>
      <c r="N87" s="274">
        <v>1.1599999999999999</v>
      </c>
      <c r="O87" s="274">
        <v>0.52</v>
      </c>
      <c r="P87" s="277">
        <f t="shared" si="128"/>
        <v>0.08</v>
      </c>
      <c r="R87" s="263"/>
      <c r="T87" s="277">
        <v>25</v>
      </c>
      <c r="U87" s="277">
        <f>IF($E$33="自定义",K87,0.52)</f>
        <v>0.52</v>
      </c>
      <c r="V87" s="277">
        <f>IF($E$33="自定义",L87,1.16)</f>
        <v>1.1599999999999999</v>
      </c>
      <c r="W87" s="277">
        <f t="shared" si="129"/>
        <v>0.08</v>
      </c>
      <c r="X87" s="277">
        <f>IF($E$33="自定义",N87,1.16)</f>
        <v>1.1599999999999999</v>
      </c>
      <c r="Y87" s="277">
        <f>IF($E$33="自定义",O87,0.52)</f>
        <v>0.52</v>
      </c>
      <c r="Z87" s="277">
        <f t="shared" si="130"/>
        <v>0.08</v>
      </c>
      <c r="AM87" s="269"/>
      <c r="AN87" s="269"/>
      <c r="AO87" s="269"/>
      <c r="AP87" s="269"/>
    </row>
    <row r="88" spans="1:42" ht="26.1" customHeight="1">
      <c r="A88" s="267" t="s">
        <v>182</v>
      </c>
      <c r="B88" s="263">
        <f t="shared" si="131"/>
        <v>0.15</v>
      </c>
      <c r="C88" s="271" t="s">
        <v>36</v>
      </c>
      <c r="J88" s="277">
        <v>30</v>
      </c>
      <c r="K88" s="285">
        <v>0.62</v>
      </c>
      <c r="L88" s="285">
        <v>1.42</v>
      </c>
      <c r="M88" s="277">
        <f t="shared" si="127"/>
        <v>0.1</v>
      </c>
      <c r="N88" s="274">
        <v>1.42</v>
      </c>
      <c r="O88" s="274">
        <v>0.62</v>
      </c>
      <c r="P88" s="277">
        <f t="shared" si="128"/>
        <v>0.1</v>
      </c>
      <c r="R88" s="263"/>
      <c r="T88" s="277">
        <v>30</v>
      </c>
      <c r="U88" s="277">
        <f>IF($E$33="自定义",K88,0.62)</f>
        <v>0.62</v>
      </c>
      <c r="V88" s="277">
        <f>IF($E$33="自定义",L88,1.42)</f>
        <v>1.42</v>
      </c>
      <c r="W88" s="277">
        <f t="shared" si="129"/>
        <v>0.1</v>
      </c>
      <c r="X88" s="277">
        <f>IF($E$33="自定义",N88,1.42)</f>
        <v>1.42</v>
      </c>
      <c r="Y88" s="277">
        <f>IF($E$33="自定义",O88,0.62)</f>
        <v>0.62</v>
      </c>
      <c r="Z88" s="277">
        <f t="shared" si="130"/>
        <v>0.1</v>
      </c>
      <c r="AM88" s="269"/>
      <c r="AN88" s="269"/>
      <c r="AO88" s="269"/>
      <c r="AP88" s="269"/>
    </row>
    <row r="89" spans="1:42" ht="26.1" customHeight="1">
      <c r="A89" s="267" t="s">
        <v>186</v>
      </c>
      <c r="B89" s="263">
        <f t="shared" si="131"/>
        <v>10.4</v>
      </c>
      <c r="C89" s="271"/>
      <c r="J89" s="277">
        <v>35</v>
      </c>
      <c r="K89" s="285">
        <v>0.75</v>
      </c>
      <c r="L89" s="285">
        <v>1.69</v>
      </c>
      <c r="M89" s="277">
        <f t="shared" si="127"/>
        <v>0.11749999999999999</v>
      </c>
      <c r="N89" s="274">
        <v>1.69</v>
      </c>
      <c r="O89" s="274">
        <v>0.75</v>
      </c>
      <c r="P89" s="277">
        <f t="shared" si="128"/>
        <v>0.11749999999999999</v>
      </c>
      <c r="R89" s="263"/>
      <c r="T89" s="277">
        <v>35</v>
      </c>
      <c r="U89" s="277">
        <f>IF($E$33="自定义",K89,0.75)</f>
        <v>0.75</v>
      </c>
      <c r="V89" s="277">
        <f>IF($E$33="自定义",L89,1.69)</f>
        <v>1.69</v>
      </c>
      <c r="W89" s="277">
        <f t="shared" si="129"/>
        <v>0.11749999999999999</v>
      </c>
      <c r="X89" s="277">
        <f>IF($E$33="自定义",N89,1.69)</f>
        <v>1.69</v>
      </c>
      <c r="Y89" s="277">
        <f>IF($E$33="自定义",O89,0.75)</f>
        <v>0.75</v>
      </c>
      <c r="Z89" s="277">
        <f t="shared" si="130"/>
        <v>0.11749999999999999</v>
      </c>
      <c r="AM89" s="269"/>
      <c r="AN89" s="269"/>
      <c r="AO89" s="269"/>
      <c r="AP89" s="269"/>
    </row>
    <row r="90" spans="1:42" ht="26.1" customHeight="1">
      <c r="A90" s="309" t="s">
        <v>189</v>
      </c>
      <c r="B90" s="277">
        <f t="shared" si="131"/>
        <v>5</v>
      </c>
      <c r="C90" s="277">
        <f t="shared" ref="C90:H90" si="132">C35</f>
        <v>10</v>
      </c>
      <c r="D90" s="277">
        <f t="shared" si="132"/>
        <v>20</v>
      </c>
      <c r="E90" s="277">
        <f t="shared" si="132"/>
        <v>30</v>
      </c>
      <c r="F90" s="277">
        <f t="shared" si="132"/>
        <v>35</v>
      </c>
      <c r="G90" s="277">
        <f t="shared" si="132"/>
        <v>40</v>
      </c>
      <c r="H90" s="277">
        <f t="shared" si="132"/>
        <v>45</v>
      </c>
      <c r="J90" s="277">
        <v>40</v>
      </c>
      <c r="K90" s="285">
        <v>0.9</v>
      </c>
      <c r="L90" s="285">
        <v>1.87</v>
      </c>
      <c r="M90" s="277">
        <f t="shared" si="127"/>
        <v>0.12125</v>
      </c>
      <c r="N90" s="274">
        <v>1.87</v>
      </c>
      <c r="O90" s="274">
        <v>0.9</v>
      </c>
      <c r="P90" s="277">
        <f t="shared" si="128"/>
        <v>0.12125</v>
      </c>
      <c r="R90" s="263"/>
      <c r="T90" s="277">
        <v>40</v>
      </c>
      <c r="U90" s="277">
        <f>IF($E$33="自定义",K90,0.9)</f>
        <v>0.9</v>
      </c>
      <c r="V90" s="277">
        <f>IF($E$33="自定义",L90,1.87)</f>
        <v>1.87</v>
      </c>
      <c r="W90" s="277">
        <f t="shared" si="129"/>
        <v>0.12125</v>
      </c>
      <c r="X90" s="277">
        <f>IF($E$33="自定义",N90,1.87)</f>
        <v>1.87</v>
      </c>
      <c r="Y90" s="277">
        <f>IF($E$33="自定义",O90,0.9)</f>
        <v>0.9</v>
      </c>
      <c r="Z90" s="277">
        <f t="shared" si="130"/>
        <v>0.12125</v>
      </c>
      <c r="AM90" s="269"/>
      <c r="AN90" s="269"/>
      <c r="AO90" s="269"/>
      <c r="AP90" s="269"/>
    </row>
    <row r="91" spans="1:42" ht="26.1" customHeight="1">
      <c r="A91" s="278" t="s">
        <v>190</v>
      </c>
      <c r="B91" s="274" t="str">
        <f t="shared" si="131"/>
        <v>抗风模式</v>
      </c>
      <c r="C91" s="274" t="str">
        <f t="shared" ref="C91:H91" si="133">C36</f>
        <v>运行模式</v>
      </c>
      <c r="D91" s="274" t="str">
        <f t="shared" si="133"/>
        <v>运行模式</v>
      </c>
      <c r="E91" s="274" t="str">
        <f t="shared" si="133"/>
        <v>运行模式</v>
      </c>
      <c r="F91" s="274" t="str">
        <f t="shared" si="133"/>
        <v>运行模式</v>
      </c>
      <c r="G91" s="274" t="str">
        <f t="shared" si="133"/>
        <v>运行模式</v>
      </c>
      <c r="H91" s="274" t="str">
        <f t="shared" si="133"/>
        <v>运行模式</v>
      </c>
      <c r="J91" s="277">
        <v>45</v>
      </c>
      <c r="K91" s="285">
        <v>0.98</v>
      </c>
      <c r="L91" s="285">
        <v>1.91</v>
      </c>
      <c r="M91" s="277">
        <f t="shared" si="127"/>
        <v>0.11625000000000001</v>
      </c>
      <c r="N91" s="274">
        <v>2</v>
      </c>
      <c r="O91" s="274">
        <v>1</v>
      </c>
      <c r="P91" s="277">
        <f t="shared" si="128"/>
        <v>0.125</v>
      </c>
      <c r="R91" s="263"/>
      <c r="T91" s="277">
        <v>45</v>
      </c>
      <c r="U91" s="277">
        <f>IF($E$33="自定义",K91,0.98)</f>
        <v>0.98</v>
      </c>
      <c r="V91" s="277">
        <f>IF($E$33="自定义",L91,1.91)</f>
        <v>1.91</v>
      </c>
      <c r="W91" s="277">
        <f t="shared" si="129"/>
        <v>0.11625000000000001</v>
      </c>
      <c r="X91" s="277">
        <f>IF($E$33="自定义",N91,2)</f>
        <v>2</v>
      </c>
      <c r="Y91" s="277">
        <f>IF($E$33="自定义",O91,1)</f>
        <v>1</v>
      </c>
      <c r="Z91" s="277">
        <f t="shared" si="130"/>
        <v>0.125</v>
      </c>
      <c r="AM91" s="269"/>
      <c r="AN91" s="269"/>
      <c r="AO91" s="269"/>
      <c r="AP91" s="269"/>
    </row>
    <row r="92" spans="1:42" ht="26.1" customHeight="1">
      <c r="A92" s="276" t="s">
        <v>193</v>
      </c>
      <c r="B92" s="277">
        <f>IF(B91="运行模式",$B$5,ROUND($B$6*SQRT($F$5),2))</f>
        <v>22.26</v>
      </c>
      <c r="C92" s="277">
        <f t="shared" ref="C92:H92" si="134">IF(C91="运行模式",$B$5,ROUND($B$6*SQRT($F$5),2))</f>
        <v>14</v>
      </c>
      <c r="D92" s="277">
        <f t="shared" si="134"/>
        <v>14</v>
      </c>
      <c r="E92" s="277">
        <f t="shared" si="134"/>
        <v>14</v>
      </c>
      <c r="F92" s="277">
        <f t="shared" si="134"/>
        <v>14</v>
      </c>
      <c r="G92" s="277">
        <f t="shared" si="134"/>
        <v>14</v>
      </c>
      <c r="H92" s="277">
        <f t="shared" si="134"/>
        <v>14</v>
      </c>
      <c r="J92" s="277">
        <v>50</v>
      </c>
      <c r="K92" s="285">
        <v>1.07</v>
      </c>
      <c r="L92" s="285">
        <v>1.86</v>
      </c>
      <c r="M92" s="277">
        <f t="shared" si="127"/>
        <v>9.8750000000000004E-2</v>
      </c>
      <c r="N92" s="274">
        <v>2</v>
      </c>
      <c r="O92" s="274">
        <v>1.1200000000000001</v>
      </c>
      <c r="P92" s="277">
        <f t="shared" si="128"/>
        <v>0.11</v>
      </c>
      <c r="R92" s="263"/>
      <c r="T92" s="277">
        <v>50</v>
      </c>
      <c r="U92" s="277">
        <f>IF($E$33="自定义",K92,1.07)</f>
        <v>1.07</v>
      </c>
      <c r="V92" s="277">
        <f>IF($E$33="自定义",L92,1.86)</f>
        <v>1.86</v>
      </c>
      <c r="W92" s="277">
        <f t="shared" si="129"/>
        <v>9.8750000000000004E-2</v>
      </c>
      <c r="X92" s="277">
        <f>IF($E$33="自定义",N92,2)</f>
        <v>2</v>
      </c>
      <c r="Y92" s="277">
        <f>IF($E$33="自定义",O92,1.12)</f>
        <v>1.1200000000000001</v>
      </c>
      <c r="Z92" s="277">
        <f t="shared" si="130"/>
        <v>0.11</v>
      </c>
      <c r="AM92" s="269"/>
      <c r="AN92" s="269"/>
      <c r="AO92" s="269"/>
      <c r="AP92" s="269"/>
    </row>
    <row r="93" spans="1:42" ht="26.1" customHeight="1">
      <c r="A93" s="276" t="s">
        <v>194</v>
      </c>
      <c r="B93" s="277">
        <f t="shared" ref="B93:H93" si="135">ROUND(B92^2/1600,3)</f>
        <v>0.31</v>
      </c>
      <c r="C93" s="277">
        <f t="shared" si="135"/>
        <v>0.123</v>
      </c>
      <c r="D93" s="277">
        <f t="shared" si="135"/>
        <v>0.123</v>
      </c>
      <c r="E93" s="277">
        <f t="shared" si="135"/>
        <v>0.123</v>
      </c>
      <c r="F93" s="277">
        <f t="shared" si="135"/>
        <v>0.123</v>
      </c>
      <c r="G93" s="277">
        <f t="shared" si="135"/>
        <v>0.123</v>
      </c>
      <c r="H93" s="277">
        <f t="shared" si="135"/>
        <v>0.123</v>
      </c>
      <c r="J93" s="277">
        <v>55</v>
      </c>
      <c r="K93" s="285">
        <v>1.07</v>
      </c>
      <c r="L93" s="285">
        <v>1.79</v>
      </c>
      <c r="M93" s="277">
        <f t="shared" si="127"/>
        <v>0.09</v>
      </c>
      <c r="N93" s="274">
        <v>2</v>
      </c>
      <c r="O93" s="274">
        <v>1.2</v>
      </c>
      <c r="P93" s="277">
        <f t="shared" si="128"/>
        <v>0.1</v>
      </c>
      <c r="R93" s="263"/>
      <c r="T93" s="277">
        <v>55</v>
      </c>
      <c r="U93" s="277">
        <f>IF($E$33="自定义",K93,1.07)</f>
        <v>1.07</v>
      </c>
      <c r="V93" s="277">
        <f>IF($E$33="自定义",L93,1.79)</f>
        <v>1.79</v>
      </c>
      <c r="W93" s="277">
        <f t="shared" si="129"/>
        <v>0.09</v>
      </c>
      <c r="X93" s="277">
        <f>IF($E$33="自定义",N93,2)</f>
        <v>2</v>
      </c>
      <c r="Y93" s="277">
        <f>IF($E$33="自定义",O93,1.2)</f>
        <v>1.2</v>
      </c>
      <c r="Z93" s="277">
        <f t="shared" si="130"/>
        <v>0.1</v>
      </c>
      <c r="AM93" s="269"/>
      <c r="AN93" s="269"/>
      <c r="AO93" s="269"/>
      <c r="AP93" s="269"/>
    </row>
    <row r="94" spans="1:42" ht="26.1" customHeight="1">
      <c r="A94" s="276" t="s">
        <v>195</v>
      </c>
      <c r="B94" s="277">
        <f t="shared" ref="B94:H94" si="136">IF($E$34="1P",VLOOKUP(B90,$T$82:$Z$94,5,FALSE),IF($E$34="2P",VLOOKUP(B90,$T$98:$Z$110,5,FALSE)))</f>
        <v>0.69</v>
      </c>
      <c r="C94" s="277">
        <f t="shared" si="136"/>
        <v>1.18</v>
      </c>
      <c r="D94" s="277">
        <f t="shared" si="136"/>
        <v>1.41</v>
      </c>
      <c r="E94" s="277">
        <f t="shared" si="136"/>
        <v>1.66</v>
      </c>
      <c r="F94" s="277">
        <f t="shared" si="136"/>
        <v>1.66</v>
      </c>
      <c r="G94" s="277">
        <f t="shared" si="136"/>
        <v>1.74</v>
      </c>
      <c r="H94" s="277">
        <f t="shared" si="136"/>
        <v>1.74</v>
      </c>
      <c r="J94" s="277">
        <v>60</v>
      </c>
      <c r="K94" s="285">
        <v>1.1200000000000001</v>
      </c>
      <c r="L94" s="285">
        <v>1.77</v>
      </c>
      <c r="M94" s="277">
        <f t="shared" si="127"/>
        <v>8.1250000000000003E-2</v>
      </c>
      <c r="N94" s="274">
        <v>2</v>
      </c>
      <c r="O94" s="274">
        <v>1.22</v>
      </c>
      <c r="P94" s="277">
        <f t="shared" si="128"/>
        <v>9.7500000000000003E-2</v>
      </c>
      <c r="R94" s="263"/>
      <c r="T94" s="277">
        <v>60</v>
      </c>
      <c r="U94" s="277">
        <f>IF($E$33="自定义",K94,1.12)</f>
        <v>1.1200000000000001</v>
      </c>
      <c r="V94" s="277">
        <f>IF($E$33="自定义",L94,1.77)</f>
        <v>1.77</v>
      </c>
      <c r="W94" s="277">
        <f t="shared" si="129"/>
        <v>8.1250000000000003E-2</v>
      </c>
      <c r="X94" s="277">
        <f>IF($E$33="自定义",N94,2)</f>
        <v>2</v>
      </c>
      <c r="Y94" s="277">
        <f>IF($E$33="自定义",O94,1.22)</f>
        <v>1.22</v>
      </c>
      <c r="Z94" s="277">
        <f t="shared" si="130"/>
        <v>9.7500000000000003E-2</v>
      </c>
      <c r="AM94" s="269"/>
      <c r="AN94" s="269"/>
      <c r="AO94" s="269"/>
      <c r="AP94" s="269"/>
    </row>
    <row r="95" spans="1:42" ht="26.1" customHeight="1">
      <c r="A95" s="276" t="s">
        <v>196</v>
      </c>
      <c r="B95" s="277">
        <f t="shared" ref="B95:H95" si="137">IF($E$34="1P",VLOOKUP(B90,$T$82:$Z$94,6,FALSE),IF($E$34="2P",VLOOKUP(B90,$T$98:$Z$110,6,FALSE)))</f>
        <v>0.27</v>
      </c>
      <c r="C95" s="277">
        <f t="shared" si="137"/>
        <v>0.47</v>
      </c>
      <c r="D95" s="277">
        <f t="shared" si="137"/>
        <v>0.73</v>
      </c>
      <c r="E95" s="277">
        <f t="shared" si="137"/>
        <v>0.9</v>
      </c>
      <c r="F95" s="277">
        <f t="shared" si="137"/>
        <v>0.93</v>
      </c>
      <c r="G95" s="277">
        <f t="shared" si="137"/>
        <v>1.1000000000000001</v>
      </c>
      <c r="H95" s="277">
        <f t="shared" si="137"/>
        <v>1.2</v>
      </c>
      <c r="J95" s="283" t="s">
        <v>253</v>
      </c>
      <c r="R95" s="263"/>
      <c r="Z95" s="263"/>
      <c r="AM95" s="269"/>
      <c r="AN95" s="269"/>
      <c r="AO95" s="269"/>
      <c r="AP95" s="269"/>
    </row>
    <row r="96" spans="1:42" ht="26.1" customHeight="1">
      <c r="A96" s="276" t="s">
        <v>198</v>
      </c>
      <c r="B96" s="274">
        <v>1</v>
      </c>
      <c r="C96" s="274">
        <v>1</v>
      </c>
      <c r="D96" s="274">
        <v>1</v>
      </c>
      <c r="E96" s="274">
        <v>1</v>
      </c>
      <c r="F96" s="274">
        <v>1</v>
      </c>
      <c r="G96" s="274">
        <v>1</v>
      </c>
      <c r="H96" s="274">
        <v>1</v>
      </c>
      <c r="J96" s="272" t="s">
        <v>262</v>
      </c>
      <c r="K96" s="390" t="s">
        <v>255</v>
      </c>
      <c r="L96" s="390"/>
      <c r="M96" s="390"/>
      <c r="N96" s="391" t="s">
        <v>256</v>
      </c>
      <c r="O96" s="391"/>
      <c r="P96" s="391"/>
      <c r="R96" s="263"/>
      <c r="T96" s="272" t="s">
        <v>262</v>
      </c>
      <c r="U96" s="390" t="s">
        <v>255</v>
      </c>
      <c r="V96" s="390"/>
      <c r="W96" s="390"/>
      <c r="X96" s="390" t="s">
        <v>256</v>
      </c>
      <c r="Y96" s="390"/>
      <c r="Z96" s="390"/>
      <c r="AM96" s="269"/>
      <c r="AN96" s="269"/>
      <c r="AO96" s="269"/>
      <c r="AP96" s="269"/>
    </row>
    <row r="97" spans="1:42" ht="26.1" customHeight="1">
      <c r="A97" s="278" t="s">
        <v>203</v>
      </c>
      <c r="B97" s="277">
        <f>ABS((B94-B95)/8)</f>
        <v>5.2499999999999998E-2</v>
      </c>
      <c r="C97" s="277">
        <f t="shared" ref="C97:H97" si="138">ABS((C94-C95)/8)</f>
        <v>8.8749999999999996E-2</v>
      </c>
      <c r="D97" s="277">
        <f t="shared" si="138"/>
        <v>8.5000000000000006E-2</v>
      </c>
      <c r="E97" s="277">
        <f t="shared" si="138"/>
        <v>9.5000000000000001E-2</v>
      </c>
      <c r="F97" s="277">
        <f t="shared" si="138"/>
        <v>9.1249999999999998E-2</v>
      </c>
      <c r="G97" s="277">
        <f t="shared" si="138"/>
        <v>0.08</v>
      </c>
      <c r="H97" s="277">
        <f t="shared" si="138"/>
        <v>6.7500000000000004E-2</v>
      </c>
      <c r="J97" s="284" t="s">
        <v>257</v>
      </c>
      <c r="K97" s="277" t="s">
        <v>258</v>
      </c>
      <c r="L97" s="277" t="s">
        <v>259</v>
      </c>
      <c r="M97" s="277" t="s">
        <v>260</v>
      </c>
      <c r="N97" s="277" t="s">
        <v>258</v>
      </c>
      <c r="O97" s="277" t="s">
        <v>259</v>
      </c>
      <c r="P97" s="277" t="s">
        <v>260</v>
      </c>
      <c r="R97" s="263"/>
      <c r="T97" s="286" t="s">
        <v>261</v>
      </c>
      <c r="U97" s="277" t="s">
        <v>258</v>
      </c>
      <c r="V97" s="277" t="s">
        <v>259</v>
      </c>
      <c r="W97" s="277" t="s">
        <v>260</v>
      </c>
      <c r="X97" s="277" t="s">
        <v>258</v>
      </c>
      <c r="Y97" s="277" t="s">
        <v>259</v>
      </c>
      <c r="Z97" s="277" t="s">
        <v>260</v>
      </c>
      <c r="AM97" s="269"/>
      <c r="AN97" s="269"/>
      <c r="AO97" s="269"/>
      <c r="AP97" s="269"/>
    </row>
    <row r="98" spans="1:42" ht="26.1" customHeight="1">
      <c r="A98" s="278" t="s">
        <v>204</v>
      </c>
      <c r="B98" s="277">
        <f t="shared" ref="B98:H98" si="139">B93*B94*B96</f>
        <v>0.21390000000000001</v>
      </c>
      <c r="C98" s="277">
        <f t="shared" si="139"/>
        <v>0.14513999999999999</v>
      </c>
      <c r="D98" s="277">
        <f t="shared" si="139"/>
        <v>0.17343</v>
      </c>
      <c r="E98" s="277">
        <f t="shared" si="139"/>
        <v>0.20418</v>
      </c>
      <c r="F98" s="277">
        <f t="shared" si="139"/>
        <v>0.20418</v>
      </c>
      <c r="G98" s="277">
        <f t="shared" si="139"/>
        <v>0.21401999999999999</v>
      </c>
      <c r="H98" s="277">
        <f t="shared" si="139"/>
        <v>0.21401999999999999</v>
      </c>
      <c r="J98" s="277">
        <v>0</v>
      </c>
      <c r="K98" s="285">
        <v>0.05</v>
      </c>
      <c r="L98" s="285">
        <v>0.05</v>
      </c>
      <c r="M98" s="277">
        <f t="shared" ref="M98:M110" si="140">ABS((L98-K98)/8)</f>
        <v>0</v>
      </c>
      <c r="N98" s="274">
        <v>0.05</v>
      </c>
      <c r="O98" s="274">
        <v>0.05</v>
      </c>
      <c r="P98" s="277">
        <f>ABS((O98-N98)/8)</f>
        <v>0</v>
      </c>
      <c r="R98" s="263"/>
      <c r="T98" s="277">
        <v>0</v>
      </c>
      <c r="U98" s="277">
        <f>IF($E$33="自定义",K98,0.05)</f>
        <v>0.05</v>
      </c>
      <c r="V98" s="277">
        <f>IF($E$33="自定义",L98,0.05)</f>
        <v>0.05</v>
      </c>
      <c r="W98" s="277">
        <f t="shared" ref="W98:W110" si="141">ABS((V98-U98)/8)</f>
        <v>0</v>
      </c>
      <c r="X98" s="277">
        <f>IF($E$33="自定义",N98,0.05)</f>
        <v>0.05</v>
      </c>
      <c r="Y98" s="277">
        <f>IF($E$33="自定义",O98,0.05)</f>
        <v>0.05</v>
      </c>
      <c r="Z98" s="277">
        <f>ABS((Y98-X98)/8)</f>
        <v>0</v>
      </c>
      <c r="AM98" s="269"/>
      <c r="AN98" s="269"/>
      <c r="AO98" s="269"/>
      <c r="AP98" s="269"/>
    </row>
    <row r="99" spans="1:42" ht="26.1" customHeight="1">
      <c r="A99" s="279" t="s">
        <v>205</v>
      </c>
      <c r="B99" s="277">
        <f>B93*B95*B96</f>
        <v>8.3699999999999997E-2</v>
      </c>
      <c r="C99" s="277">
        <f t="shared" ref="C99:H99" si="142">C93*C95*C96</f>
        <v>5.781E-2</v>
      </c>
      <c r="D99" s="277">
        <f t="shared" si="142"/>
        <v>8.9789999999999995E-2</v>
      </c>
      <c r="E99" s="277">
        <f t="shared" si="142"/>
        <v>0.11070000000000001</v>
      </c>
      <c r="F99" s="277">
        <f t="shared" si="142"/>
        <v>0.11439000000000001</v>
      </c>
      <c r="G99" s="277">
        <f t="shared" si="142"/>
        <v>0.1353</v>
      </c>
      <c r="H99" s="277">
        <f t="shared" si="142"/>
        <v>0.14760000000000001</v>
      </c>
      <c r="J99" s="277">
        <v>5</v>
      </c>
      <c r="K99" s="285">
        <v>0.27</v>
      </c>
      <c r="L99" s="285">
        <v>0.69</v>
      </c>
      <c r="M99" s="277">
        <f t="shared" si="140"/>
        <v>5.2499999999999998E-2</v>
      </c>
      <c r="N99" s="274">
        <v>0.69</v>
      </c>
      <c r="O99" s="274">
        <v>0.27</v>
      </c>
      <c r="P99" s="277">
        <f t="shared" ref="P99:P110" si="143">ABS((O99-N99)/8)</f>
        <v>5.2499999999999998E-2</v>
      </c>
      <c r="R99" s="263"/>
      <c r="T99" s="277">
        <v>5</v>
      </c>
      <c r="U99" s="277">
        <f>IF($E$33="自定义",K99,0.27)</f>
        <v>0.27</v>
      </c>
      <c r="V99" s="277">
        <f>IF($E$33="自定义",L99,0.69)</f>
        <v>0.69</v>
      </c>
      <c r="W99" s="277">
        <f t="shared" si="141"/>
        <v>5.2499999999999998E-2</v>
      </c>
      <c r="X99" s="277">
        <f>IF($E$33="自定义",N99,0.69)</f>
        <v>0.69</v>
      </c>
      <c r="Y99" s="277">
        <f>IF($E$33="自定义",O99,0.27)</f>
        <v>0.27</v>
      </c>
      <c r="Z99" s="277">
        <f t="shared" ref="Z99:Z110" si="144">ABS((Y99-X99)/8)</f>
        <v>5.2499999999999998E-2</v>
      </c>
      <c r="AM99" s="269"/>
      <c r="AN99" s="269"/>
      <c r="AO99" s="269"/>
      <c r="AP99" s="269"/>
    </row>
    <row r="100" spans="1:42" ht="26.1" customHeight="1">
      <c r="A100" s="279" t="s">
        <v>206</v>
      </c>
      <c r="B100" s="277">
        <f>B45</f>
        <v>1.4</v>
      </c>
      <c r="C100" s="277">
        <f t="shared" ref="C100:H100" si="145">C45</f>
        <v>1.4</v>
      </c>
      <c r="D100" s="277">
        <f t="shared" si="145"/>
        <v>1.4</v>
      </c>
      <c r="E100" s="277">
        <f t="shared" si="145"/>
        <v>1.4</v>
      </c>
      <c r="F100" s="277">
        <f t="shared" si="145"/>
        <v>1.4</v>
      </c>
      <c r="G100" s="277">
        <f t="shared" si="145"/>
        <v>1.4</v>
      </c>
      <c r="H100" s="277">
        <f t="shared" si="145"/>
        <v>1.4</v>
      </c>
      <c r="J100" s="277">
        <v>10</v>
      </c>
      <c r="K100" s="285">
        <v>0.47</v>
      </c>
      <c r="L100" s="285">
        <v>1.18</v>
      </c>
      <c r="M100" s="277">
        <f t="shared" si="140"/>
        <v>8.8749999999999996E-2</v>
      </c>
      <c r="N100" s="274">
        <v>1.18</v>
      </c>
      <c r="O100" s="274">
        <v>0.47</v>
      </c>
      <c r="P100" s="277">
        <f t="shared" si="143"/>
        <v>8.8749999999999996E-2</v>
      </c>
      <c r="R100" s="263"/>
      <c r="T100" s="277">
        <v>10</v>
      </c>
      <c r="U100" s="277">
        <f>IF($E$33="自定义",K100,0.47)</f>
        <v>0.47</v>
      </c>
      <c r="V100" s="277">
        <f>IF($E$33="自定义",L100,1.18)</f>
        <v>1.18</v>
      </c>
      <c r="W100" s="277">
        <f t="shared" si="141"/>
        <v>8.8749999999999996E-2</v>
      </c>
      <c r="X100" s="277">
        <f>IF($E$33="自定义",N100,1.18)</f>
        <v>1.18</v>
      </c>
      <c r="Y100" s="277">
        <f>IF($E$33="自定义",O100,0.47)</f>
        <v>0.47</v>
      </c>
      <c r="Z100" s="277">
        <f t="shared" si="144"/>
        <v>8.8749999999999996E-2</v>
      </c>
      <c r="AM100" s="269"/>
      <c r="AN100" s="269"/>
      <c r="AO100" s="269"/>
      <c r="AP100" s="269"/>
    </row>
    <row r="101" spans="1:42" ht="26.1" customHeight="1">
      <c r="A101" s="279" t="s">
        <v>207</v>
      </c>
      <c r="B101" s="277">
        <v>1</v>
      </c>
      <c r="C101" s="277">
        <v>1</v>
      </c>
      <c r="D101" s="277">
        <v>1</v>
      </c>
      <c r="E101" s="277">
        <v>1</v>
      </c>
      <c r="F101" s="277">
        <v>1</v>
      </c>
      <c r="G101" s="277">
        <v>1</v>
      </c>
      <c r="H101" s="277">
        <v>1</v>
      </c>
      <c r="J101" s="277">
        <v>15</v>
      </c>
      <c r="K101" s="285">
        <v>0.63</v>
      </c>
      <c r="L101" s="285">
        <v>1.3</v>
      </c>
      <c r="M101" s="277">
        <f t="shared" si="140"/>
        <v>8.3750000000000005E-2</v>
      </c>
      <c r="N101" s="274">
        <v>1.3</v>
      </c>
      <c r="O101" s="274">
        <v>0.63</v>
      </c>
      <c r="P101" s="277">
        <f t="shared" si="143"/>
        <v>8.3750000000000005E-2</v>
      </c>
      <c r="R101" s="263"/>
      <c r="T101" s="277">
        <v>15</v>
      </c>
      <c r="U101" s="277">
        <f>IF($E$33="自定义",K101,0.63)</f>
        <v>0.63</v>
      </c>
      <c r="V101" s="277">
        <f>IF($E$33="自定义",L101,1.3)</f>
        <v>1.3</v>
      </c>
      <c r="W101" s="277">
        <f t="shared" si="141"/>
        <v>8.3750000000000005E-2</v>
      </c>
      <c r="X101" s="277">
        <f>IF($E$33="自定义",N101,1.3)</f>
        <v>1.3</v>
      </c>
      <c r="Y101" s="277">
        <f>IF($E$33="自定义",O101,0.63)</f>
        <v>0.63</v>
      </c>
      <c r="Z101" s="277">
        <f t="shared" si="144"/>
        <v>8.3750000000000005E-2</v>
      </c>
      <c r="AM101" s="269"/>
      <c r="AN101" s="269"/>
      <c r="AO101" s="269"/>
      <c r="AP101" s="269"/>
    </row>
    <row r="102" spans="1:42" ht="26.1" customHeight="1">
      <c r="A102" s="279" t="s">
        <v>208</v>
      </c>
      <c r="B102" s="277">
        <f>ROUND(B100*(B98+B99)*$B$10/2,4)</f>
        <v>1.0649999999999999</v>
      </c>
      <c r="C102" s="277">
        <f t="shared" ref="C102:H102" si="146">ROUND(C100*(C98+C99)*$B$10/2,4)</f>
        <v>0.72619999999999996</v>
      </c>
      <c r="D102" s="277">
        <f t="shared" si="146"/>
        <v>0.94189999999999996</v>
      </c>
      <c r="E102" s="277">
        <f t="shared" si="146"/>
        <v>1.1268</v>
      </c>
      <c r="F102" s="277">
        <f t="shared" si="146"/>
        <v>1.1399999999999999</v>
      </c>
      <c r="G102" s="277">
        <f t="shared" si="146"/>
        <v>1.25</v>
      </c>
      <c r="H102" s="277">
        <f t="shared" si="146"/>
        <v>1.294</v>
      </c>
      <c r="J102" s="277">
        <v>20</v>
      </c>
      <c r="K102" s="285">
        <v>0.73</v>
      </c>
      <c r="L102" s="285">
        <v>1.41</v>
      </c>
      <c r="M102" s="277">
        <f t="shared" si="140"/>
        <v>8.5000000000000006E-2</v>
      </c>
      <c r="N102" s="274">
        <v>1.41</v>
      </c>
      <c r="O102" s="274">
        <v>0.73</v>
      </c>
      <c r="P102" s="277">
        <f t="shared" si="143"/>
        <v>8.5000000000000006E-2</v>
      </c>
      <c r="R102" s="263"/>
      <c r="T102" s="277">
        <v>20</v>
      </c>
      <c r="U102" s="277">
        <f>IF($E$33="自定义",K102,0.73)</f>
        <v>0.73</v>
      </c>
      <c r="V102" s="277">
        <f>IF($E$33="自定义",L102,1.41)</f>
        <v>1.41</v>
      </c>
      <c r="W102" s="277">
        <f t="shared" si="141"/>
        <v>8.5000000000000006E-2</v>
      </c>
      <c r="X102" s="277">
        <f>IF($E$33="自定义",N102,1.41)</f>
        <v>1.41</v>
      </c>
      <c r="Y102" s="277">
        <f>IF($E$33="自定义",O102,0.73)</f>
        <v>0.73</v>
      </c>
      <c r="Z102" s="277">
        <f t="shared" si="144"/>
        <v>8.5000000000000006E-2</v>
      </c>
      <c r="AM102" s="269"/>
      <c r="AN102" s="269"/>
      <c r="AO102" s="269"/>
      <c r="AP102" s="269"/>
    </row>
    <row r="103" spans="1:42" ht="26.1" customHeight="1">
      <c r="A103" s="279" t="s">
        <v>209</v>
      </c>
      <c r="B103" s="277">
        <f>ROUND(B102*$B$32/$B$30,4)</f>
        <v>0.90390000000000004</v>
      </c>
      <c r="C103" s="277">
        <f t="shared" ref="C103:H103" si="147">ROUND(C102*$B$32/$B$30,4)</f>
        <v>0.61629999999999996</v>
      </c>
      <c r="D103" s="277">
        <f t="shared" si="147"/>
        <v>0.7994</v>
      </c>
      <c r="E103" s="277">
        <f t="shared" si="147"/>
        <v>0.95630000000000004</v>
      </c>
      <c r="F103" s="277">
        <f t="shared" si="147"/>
        <v>0.96750000000000003</v>
      </c>
      <c r="G103" s="277">
        <f t="shared" si="147"/>
        <v>1.0609</v>
      </c>
      <c r="H103" s="277">
        <f t="shared" si="147"/>
        <v>1.0982000000000001</v>
      </c>
      <c r="J103" s="277">
        <v>25</v>
      </c>
      <c r="K103" s="285">
        <v>0.8</v>
      </c>
      <c r="L103" s="285">
        <v>1.5</v>
      </c>
      <c r="M103" s="277">
        <f t="shared" si="140"/>
        <v>8.7499999999999994E-2</v>
      </c>
      <c r="N103" s="274">
        <v>1.5</v>
      </c>
      <c r="O103" s="274">
        <v>0.8</v>
      </c>
      <c r="P103" s="277">
        <f t="shared" si="143"/>
        <v>8.7499999999999994E-2</v>
      </c>
      <c r="R103" s="263"/>
      <c r="T103" s="277">
        <v>25</v>
      </c>
      <c r="U103" s="277">
        <f>IF($E$33="自定义",K103,0.8)</f>
        <v>0.8</v>
      </c>
      <c r="V103" s="277">
        <f>IF($E$33="自定义",L103,1.5)</f>
        <v>1.5</v>
      </c>
      <c r="W103" s="277">
        <f t="shared" si="141"/>
        <v>8.7499999999999994E-2</v>
      </c>
      <c r="X103" s="277">
        <f>IF($E$33="自定义",N103,1.5)</f>
        <v>1.5</v>
      </c>
      <c r="Y103" s="277">
        <f>IF($E$33="自定义",O103,0.8)</f>
        <v>0.8</v>
      </c>
      <c r="Z103" s="277">
        <f t="shared" si="144"/>
        <v>8.7499999999999994E-2</v>
      </c>
      <c r="AM103" s="269"/>
      <c r="AN103" s="269"/>
      <c r="AO103" s="269"/>
      <c r="AP103" s="269"/>
    </row>
    <row r="104" spans="1:42" ht="26.1" customHeight="1">
      <c r="A104" s="279" t="s">
        <v>210</v>
      </c>
      <c r="B104" s="277">
        <f>ROUND(B101*$B$32*$B$7*COS(RADIANS(B90))/100/$B$30,4)</f>
        <v>0.54110000000000003</v>
      </c>
      <c r="C104" s="277">
        <f t="shared" ref="C104:H104" si="148">ROUND(C101*$B$32*$B$7*COS(RADIANS(C90))/100/$B$31,4)</f>
        <v>0.55630000000000002</v>
      </c>
      <c r="D104" s="277">
        <f t="shared" si="148"/>
        <v>0.53080000000000005</v>
      </c>
      <c r="E104" s="277">
        <f t="shared" si="148"/>
        <v>0.48920000000000002</v>
      </c>
      <c r="F104" s="277">
        <f t="shared" si="148"/>
        <v>0.4627</v>
      </c>
      <c r="G104" s="277">
        <f t="shared" si="148"/>
        <v>0.43269999999999997</v>
      </c>
      <c r="H104" s="277">
        <f t="shared" si="148"/>
        <v>0.39939999999999998</v>
      </c>
      <c r="J104" s="277">
        <v>30</v>
      </c>
      <c r="K104" s="285">
        <v>0.9</v>
      </c>
      <c r="L104" s="285">
        <v>1.66</v>
      </c>
      <c r="M104" s="277">
        <f t="shared" si="140"/>
        <v>9.5000000000000001E-2</v>
      </c>
      <c r="N104" s="274">
        <v>1.66</v>
      </c>
      <c r="O104" s="274">
        <v>0.9</v>
      </c>
      <c r="P104" s="277">
        <f t="shared" si="143"/>
        <v>9.5000000000000001E-2</v>
      </c>
      <c r="R104" s="263"/>
      <c r="T104" s="277">
        <v>30</v>
      </c>
      <c r="U104" s="277">
        <f>IF($E$33="自定义",K104,0.9)</f>
        <v>0.9</v>
      </c>
      <c r="V104" s="277">
        <f>IF($E$33="自定义",L104,1.66)</f>
        <v>1.66</v>
      </c>
      <c r="W104" s="277">
        <f t="shared" si="141"/>
        <v>9.5000000000000001E-2</v>
      </c>
      <c r="X104" s="277">
        <f>IF($E$33="自定义",N104,1.66)</f>
        <v>1.66</v>
      </c>
      <c r="Y104" s="277">
        <f>IF($E$33="自定义",O104,0.9)</f>
        <v>0.9</v>
      </c>
      <c r="Z104" s="277">
        <f t="shared" si="144"/>
        <v>9.5000000000000001E-2</v>
      </c>
      <c r="AM104" s="269"/>
      <c r="AN104" s="269"/>
      <c r="AO104" s="269"/>
      <c r="AP104" s="269"/>
    </row>
    <row r="105" spans="1:42" ht="26.1" customHeight="1">
      <c r="A105" s="279" t="s">
        <v>212</v>
      </c>
      <c r="B105" s="277">
        <f>ROUND($B$22*B101*COS(RADIANS(B90)),4)</f>
        <v>0.1099</v>
      </c>
      <c r="C105" s="277">
        <f t="shared" ref="C105:H105" si="149">ROUND($B$22*C101*COS(RADIANS(C90)),4)</f>
        <v>0.1086</v>
      </c>
      <c r="D105" s="277">
        <f t="shared" si="149"/>
        <v>0.1036</v>
      </c>
      <c r="E105" s="277">
        <f t="shared" si="149"/>
        <v>9.5500000000000002E-2</v>
      </c>
      <c r="F105" s="277">
        <f t="shared" si="149"/>
        <v>9.0300000000000005E-2</v>
      </c>
      <c r="G105" s="277">
        <f t="shared" si="149"/>
        <v>8.4500000000000006E-2</v>
      </c>
      <c r="H105" s="277">
        <f t="shared" si="149"/>
        <v>7.8E-2</v>
      </c>
      <c r="J105" s="277">
        <v>35</v>
      </c>
      <c r="K105" s="285">
        <v>0.93</v>
      </c>
      <c r="L105" s="285">
        <v>1.66</v>
      </c>
      <c r="M105" s="277">
        <f t="shared" si="140"/>
        <v>9.1249999999999998E-2</v>
      </c>
      <c r="N105" s="274">
        <v>1.66</v>
      </c>
      <c r="O105" s="274">
        <v>0.93</v>
      </c>
      <c r="P105" s="277">
        <f t="shared" si="143"/>
        <v>9.1249999999999998E-2</v>
      </c>
      <c r="R105" s="263"/>
      <c r="T105" s="277">
        <v>35</v>
      </c>
      <c r="U105" s="277">
        <f>IF($E$33="自定义",K105,0.93)</f>
        <v>0.93</v>
      </c>
      <c r="V105" s="277">
        <f t="shared" ref="V105:V110" si="150">IF($E$33="自定义",L105,1.66)</f>
        <v>1.66</v>
      </c>
      <c r="W105" s="277">
        <f t="shared" si="141"/>
        <v>9.1249999999999998E-2</v>
      </c>
      <c r="X105" s="277">
        <f>IF($E$33="自定义",N105,1.66)</f>
        <v>1.66</v>
      </c>
      <c r="Y105" s="277">
        <f>IF($E$33="自定义",O105,0.93)</f>
        <v>0.93</v>
      </c>
      <c r="Z105" s="277">
        <f t="shared" si="144"/>
        <v>9.1249999999999998E-2</v>
      </c>
      <c r="AM105" s="269"/>
      <c r="AN105" s="269"/>
      <c r="AO105" s="269"/>
      <c r="AP105" s="269"/>
    </row>
    <row r="106" spans="1:42" ht="26.1" customHeight="1">
      <c r="A106" s="279" t="s">
        <v>214</v>
      </c>
      <c r="B106" s="277">
        <f t="shared" ref="B106:H106" si="151">ROUND(B46*$B$141*$B$142*($B$32+1)*COS(RADIANS(B35))/$B$31,4)</f>
        <v>0.1135</v>
      </c>
      <c r="C106" s="277">
        <f t="shared" si="151"/>
        <v>0.11219999999999999</v>
      </c>
      <c r="D106" s="277">
        <f t="shared" si="151"/>
        <v>0.1071</v>
      </c>
      <c r="E106" s="277">
        <f t="shared" si="151"/>
        <v>9.8699999999999996E-2</v>
      </c>
      <c r="F106" s="277">
        <f t="shared" si="151"/>
        <v>9.3299999999999994E-2</v>
      </c>
      <c r="G106" s="277">
        <f t="shared" si="151"/>
        <v>8.7300000000000003E-2</v>
      </c>
      <c r="H106" s="277">
        <f t="shared" si="151"/>
        <v>8.0600000000000005E-2</v>
      </c>
      <c r="J106" s="277">
        <v>40</v>
      </c>
      <c r="K106" s="285">
        <v>0.92</v>
      </c>
      <c r="L106" s="285">
        <v>1.66</v>
      </c>
      <c r="M106" s="277">
        <f t="shared" si="140"/>
        <v>9.2499999999999999E-2</v>
      </c>
      <c r="N106" s="274">
        <v>1.74</v>
      </c>
      <c r="O106" s="274">
        <v>1.1000000000000001</v>
      </c>
      <c r="P106" s="277">
        <f t="shared" si="143"/>
        <v>0.08</v>
      </c>
      <c r="R106" s="263"/>
      <c r="T106" s="277">
        <v>40</v>
      </c>
      <c r="U106" s="277">
        <f>IF($E$33="自定义",K106,0.92)</f>
        <v>0.92</v>
      </c>
      <c r="V106" s="277">
        <f t="shared" si="150"/>
        <v>1.66</v>
      </c>
      <c r="W106" s="277">
        <f t="shared" si="141"/>
        <v>9.2499999999999999E-2</v>
      </c>
      <c r="X106" s="277">
        <f>IF($E$33="自定义",N106,1.74)</f>
        <v>1.74</v>
      </c>
      <c r="Y106" s="277">
        <f>IF($E$33="自定义",O106,1.1)</f>
        <v>1.1000000000000001</v>
      </c>
      <c r="Z106" s="277">
        <f t="shared" si="144"/>
        <v>0.08</v>
      </c>
      <c r="AM106" s="269"/>
      <c r="AN106" s="269"/>
      <c r="AO106" s="269"/>
      <c r="AP106" s="269"/>
    </row>
    <row r="107" spans="1:42" ht="26.1" customHeight="1">
      <c r="A107" s="295" t="s">
        <v>263</v>
      </c>
      <c r="B107" s="296">
        <f>ABS(B103-B104-B105-B106)</f>
        <v>0.1394</v>
      </c>
      <c r="C107" s="296">
        <f t="shared" ref="C107:H107" si="152">ABS(C103-C104-C105-C106)</f>
        <v>0.1608</v>
      </c>
      <c r="D107" s="296">
        <f t="shared" si="152"/>
        <v>5.79E-2</v>
      </c>
      <c r="E107" s="296">
        <f t="shared" si="152"/>
        <v>0.27289999999999998</v>
      </c>
      <c r="F107" s="296">
        <f t="shared" si="152"/>
        <v>0.32119999999999999</v>
      </c>
      <c r="G107" s="296">
        <f t="shared" si="152"/>
        <v>0.45639999999999997</v>
      </c>
      <c r="H107" s="296">
        <f t="shared" si="152"/>
        <v>0.54020000000000001</v>
      </c>
      <c r="J107" s="277">
        <v>45</v>
      </c>
      <c r="K107" s="285">
        <v>1.08</v>
      </c>
      <c r="L107" s="285">
        <v>1.66</v>
      </c>
      <c r="M107" s="277">
        <f t="shared" si="140"/>
        <v>7.2499999999999995E-2</v>
      </c>
      <c r="N107" s="274">
        <v>1.74</v>
      </c>
      <c r="O107" s="274">
        <v>1.2</v>
      </c>
      <c r="P107" s="277">
        <f t="shared" si="143"/>
        <v>6.7500000000000004E-2</v>
      </c>
      <c r="R107" s="263"/>
      <c r="T107" s="277">
        <v>45</v>
      </c>
      <c r="U107" s="277">
        <f>IF($E$33="自定义",K107,1.08)</f>
        <v>1.08</v>
      </c>
      <c r="V107" s="277">
        <f t="shared" si="150"/>
        <v>1.66</v>
      </c>
      <c r="W107" s="277">
        <f t="shared" si="141"/>
        <v>7.2499999999999995E-2</v>
      </c>
      <c r="X107" s="277">
        <f t="shared" ref="X107:X110" si="153">IF($E$33="自定义",N107,1.74)</f>
        <v>1.74</v>
      </c>
      <c r="Y107" s="277">
        <f>IF($E$33="自定义",O107,1.2)</f>
        <v>1.2</v>
      </c>
      <c r="Z107" s="277">
        <f t="shared" si="144"/>
        <v>6.7500000000000004E-2</v>
      </c>
      <c r="AM107" s="269"/>
      <c r="AN107" s="269"/>
      <c r="AO107" s="269"/>
      <c r="AP107" s="269"/>
    </row>
    <row r="108" spans="1:42" ht="26.1" customHeight="1">
      <c r="A108" s="279" t="s">
        <v>216</v>
      </c>
      <c r="B108" s="277">
        <f t="shared" ref="B108:H108" si="154">ROUND(1.2*$B$32*$B$7*SIN(RADIANS(B90))/100/$B$31,4)</f>
        <v>5.91E-2</v>
      </c>
      <c r="C108" s="277">
        <f t="shared" si="154"/>
        <v>0.1177</v>
      </c>
      <c r="D108" s="277">
        <f t="shared" si="154"/>
        <v>0.2319</v>
      </c>
      <c r="E108" s="277">
        <f t="shared" si="154"/>
        <v>0.33889999999999998</v>
      </c>
      <c r="F108" s="277">
        <f t="shared" si="154"/>
        <v>0.38879999999999998</v>
      </c>
      <c r="G108" s="277">
        <f t="shared" si="154"/>
        <v>0.43569999999999998</v>
      </c>
      <c r="H108" s="277">
        <f t="shared" si="154"/>
        <v>0.4793</v>
      </c>
      <c r="J108" s="277">
        <v>50</v>
      </c>
      <c r="K108" s="285">
        <v>1.08</v>
      </c>
      <c r="L108" s="285">
        <v>1.66</v>
      </c>
      <c r="M108" s="277">
        <f t="shared" si="140"/>
        <v>7.2499999999999995E-2</v>
      </c>
      <c r="N108" s="274">
        <v>1.74</v>
      </c>
      <c r="O108" s="274">
        <v>1.2</v>
      </c>
      <c r="P108" s="277">
        <f t="shared" si="143"/>
        <v>6.7500000000000004E-2</v>
      </c>
      <c r="R108" s="263"/>
      <c r="T108" s="277">
        <v>50</v>
      </c>
      <c r="U108" s="277">
        <f>IF($E$33="自定义",K108,1.08)</f>
        <v>1.08</v>
      </c>
      <c r="V108" s="277">
        <f t="shared" si="150"/>
        <v>1.66</v>
      </c>
      <c r="W108" s="277">
        <f t="shared" si="141"/>
        <v>7.2499999999999995E-2</v>
      </c>
      <c r="X108" s="277">
        <f t="shared" si="153"/>
        <v>1.74</v>
      </c>
      <c r="Y108" s="277">
        <f t="shared" ref="Y108:Y110" si="155">IF($E$33="自定义",O108,1.2)</f>
        <v>1.2</v>
      </c>
      <c r="Z108" s="277">
        <f t="shared" si="144"/>
        <v>6.7500000000000004E-2</v>
      </c>
      <c r="AM108" s="269"/>
      <c r="AN108" s="269"/>
      <c r="AO108" s="269"/>
      <c r="AP108" s="269"/>
    </row>
    <row r="109" spans="1:42" ht="26.1" customHeight="1">
      <c r="A109" s="279" t="s">
        <v>217</v>
      </c>
      <c r="B109" s="277">
        <f t="shared" ref="B109:H109" si="156">ROUND($B$22*B101*SIN(RADIANS(B90)),4)</f>
        <v>9.5999999999999992E-3</v>
      </c>
      <c r="C109" s="277">
        <f t="shared" si="156"/>
        <v>1.9099999999999999E-2</v>
      </c>
      <c r="D109" s="277">
        <f t="shared" si="156"/>
        <v>3.7699999999999997E-2</v>
      </c>
      <c r="E109" s="277">
        <f t="shared" si="156"/>
        <v>5.5100000000000003E-2</v>
      </c>
      <c r="F109" s="277">
        <f t="shared" si="156"/>
        <v>6.3299999999999995E-2</v>
      </c>
      <c r="G109" s="277">
        <f t="shared" si="156"/>
        <v>7.0900000000000005E-2</v>
      </c>
      <c r="H109" s="277">
        <f t="shared" si="156"/>
        <v>7.8E-2</v>
      </c>
      <c r="J109" s="277">
        <v>55</v>
      </c>
      <c r="K109" s="285">
        <v>1.08</v>
      </c>
      <c r="L109" s="285">
        <v>1.66</v>
      </c>
      <c r="M109" s="277">
        <f t="shared" si="140"/>
        <v>7.2499999999999995E-2</v>
      </c>
      <c r="N109" s="274">
        <v>1.74</v>
      </c>
      <c r="O109" s="274">
        <v>1.2</v>
      </c>
      <c r="P109" s="277">
        <f t="shared" si="143"/>
        <v>6.7500000000000004E-2</v>
      </c>
      <c r="R109" s="263"/>
      <c r="T109" s="277">
        <v>55</v>
      </c>
      <c r="U109" s="277">
        <f>IF($E$33="自定义",K109,1.08)</f>
        <v>1.08</v>
      </c>
      <c r="V109" s="277">
        <f t="shared" si="150"/>
        <v>1.66</v>
      </c>
      <c r="W109" s="277">
        <f t="shared" si="141"/>
        <v>7.2499999999999995E-2</v>
      </c>
      <c r="X109" s="277">
        <f t="shared" si="153"/>
        <v>1.74</v>
      </c>
      <c r="Y109" s="277">
        <f t="shared" si="155"/>
        <v>1.2</v>
      </c>
      <c r="Z109" s="277">
        <f t="shared" si="144"/>
        <v>6.7500000000000004E-2</v>
      </c>
      <c r="AM109" s="269"/>
      <c r="AN109" s="269"/>
      <c r="AO109" s="269"/>
      <c r="AP109" s="269"/>
    </row>
    <row r="110" spans="1:42" ht="26.1" customHeight="1">
      <c r="A110" s="279" t="s">
        <v>264</v>
      </c>
      <c r="B110" s="277">
        <f t="shared" ref="B110:H110" si="157">ROUND(B46*$B$141*$B$142*($B$32+1)*SIN(RADIANS(B35))/$B$31,4)</f>
        <v>9.9000000000000008E-3</v>
      </c>
      <c r="C110" s="277">
        <f t="shared" si="157"/>
        <v>1.9800000000000002E-2</v>
      </c>
      <c r="D110" s="277">
        <f t="shared" si="157"/>
        <v>3.9E-2</v>
      </c>
      <c r="E110" s="277">
        <f t="shared" si="157"/>
        <v>5.7000000000000002E-2</v>
      </c>
      <c r="F110" s="277">
        <f t="shared" si="157"/>
        <v>6.5299999999999997E-2</v>
      </c>
      <c r="G110" s="277">
        <f t="shared" si="157"/>
        <v>7.3200000000000001E-2</v>
      </c>
      <c r="H110" s="277">
        <f t="shared" si="157"/>
        <v>8.0600000000000005E-2</v>
      </c>
      <c r="J110" s="277">
        <v>60</v>
      </c>
      <c r="K110" s="285">
        <v>1.08</v>
      </c>
      <c r="L110" s="285">
        <v>1.66</v>
      </c>
      <c r="M110" s="277">
        <f t="shared" si="140"/>
        <v>7.2499999999999995E-2</v>
      </c>
      <c r="N110" s="274">
        <v>1.74</v>
      </c>
      <c r="O110" s="274">
        <v>1.2</v>
      </c>
      <c r="P110" s="277">
        <f t="shared" si="143"/>
        <v>6.7500000000000004E-2</v>
      </c>
      <c r="R110" s="263"/>
      <c r="T110" s="277">
        <v>60</v>
      </c>
      <c r="U110" s="277">
        <f>IF($E$33="自定义",K110,1.08)</f>
        <v>1.08</v>
      </c>
      <c r="V110" s="277">
        <f t="shared" si="150"/>
        <v>1.66</v>
      </c>
      <c r="W110" s="277">
        <f t="shared" si="141"/>
        <v>7.2499999999999995E-2</v>
      </c>
      <c r="X110" s="277">
        <f t="shared" si="153"/>
        <v>1.74</v>
      </c>
      <c r="Y110" s="277">
        <f t="shared" si="155"/>
        <v>1.2</v>
      </c>
      <c r="Z110" s="277">
        <f t="shared" si="144"/>
        <v>6.7500000000000004E-2</v>
      </c>
      <c r="AM110" s="269"/>
      <c r="AN110" s="269"/>
      <c r="AO110" s="269"/>
      <c r="AP110" s="269"/>
    </row>
    <row r="111" spans="1:42" ht="26.1" customHeight="1">
      <c r="A111" s="295" t="s">
        <v>219</v>
      </c>
      <c r="B111" s="296">
        <f t="shared" ref="B111:H111" si="158">B108+B109+B110</f>
        <v>7.8600000000000003E-2</v>
      </c>
      <c r="C111" s="296">
        <f t="shared" si="158"/>
        <v>0.15659999999999999</v>
      </c>
      <c r="D111" s="296">
        <f t="shared" si="158"/>
        <v>0.30859999999999999</v>
      </c>
      <c r="E111" s="296">
        <f t="shared" si="158"/>
        <v>0.45100000000000001</v>
      </c>
      <c r="F111" s="296">
        <f t="shared" si="158"/>
        <v>0.51739999999999997</v>
      </c>
      <c r="G111" s="296">
        <f t="shared" si="158"/>
        <v>0.57979999999999998</v>
      </c>
      <c r="H111" s="296">
        <f t="shared" si="158"/>
        <v>0.63790000000000002</v>
      </c>
      <c r="R111" s="263"/>
      <c r="Z111" s="263"/>
      <c r="AM111" s="269"/>
      <c r="AN111" s="269"/>
      <c r="AO111" s="269"/>
      <c r="AP111" s="269"/>
    </row>
    <row r="112" spans="1:42" ht="26.1" customHeight="1">
      <c r="A112" s="297" t="s">
        <v>220</v>
      </c>
      <c r="B112" s="298">
        <f t="shared" ref="B112:H112" si="159">ABS(ROUND($G$29*B107*$B$30^2,4))</f>
        <v>0.84809999999999997</v>
      </c>
      <c r="C112" s="298">
        <f t="shared" si="159"/>
        <v>0.97829999999999995</v>
      </c>
      <c r="D112" s="298">
        <f t="shared" si="159"/>
        <v>0.3523</v>
      </c>
      <c r="E112" s="298">
        <f t="shared" si="159"/>
        <v>1.6603000000000001</v>
      </c>
      <c r="F112" s="298">
        <f t="shared" si="159"/>
        <v>1.9541999999999999</v>
      </c>
      <c r="G112" s="298">
        <f t="shared" si="159"/>
        <v>2.7766999999999999</v>
      </c>
      <c r="H112" s="298">
        <f t="shared" si="159"/>
        <v>3.2866</v>
      </c>
      <c r="R112" s="263"/>
      <c r="Z112" s="263"/>
      <c r="AM112" s="269"/>
      <c r="AN112" s="269"/>
      <c r="AO112" s="269"/>
      <c r="AP112" s="269"/>
    </row>
    <row r="113" spans="1:42" ht="26.1" customHeight="1">
      <c r="A113" s="297" t="s">
        <v>221</v>
      </c>
      <c r="B113" s="298">
        <f t="shared" ref="B113:H113" si="160">ABS(ROUND($G$30*B107*$B$30^2,4))</f>
        <v>0.84809999999999997</v>
      </c>
      <c r="C113" s="298">
        <f t="shared" si="160"/>
        <v>0.97829999999999995</v>
      </c>
      <c r="D113" s="298">
        <f t="shared" si="160"/>
        <v>0.3523</v>
      </c>
      <c r="E113" s="298">
        <f t="shared" si="160"/>
        <v>1.6603000000000001</v>
      </c>
      <c r="F113" s="298">
        <f t="shared" si="160"/>
        <v>1.9541999999999999</v>
      </c>
      <c r="G113" s="298">
        <f t="shared" si="160"/>
        <v>2.7766999999999999</v>
      </c>
      <c r="H113" s="298">
        <f t="shared" si="160"/>
        <v>3.2866</v>
      </c>
      <c r="R113" s="263"/>
      <c r="Z113" s="263"/>
      <c r="AM113" s="269"/>
      <c r="AN113" s="269"/>
      <c r="AO113" s="269"/>
      <c r="AP113" s="269"/>
    </row>
    <row r="114" spans="1:42" ht="26.1" customHeight="1">
      <c r="A114" s="299" t="s">
        <v>227</v>
      </c>
      <c r="B114" s="300">
        <f>ABS(ROUND($G$29*B111*$B$30^2,4))</f>
        <v>0.47820000000000001</v>
      </c>
      <c r="C114" s="300">
        <f t="shared" ref="C114:H114" si="161">ABS(ROUND($G$29*C111*$B$30^2,4))</f>
        <v>0.95279999999999998</v>
      </c>
      <c r="D114" s="300">
        <f t="shared" si="161"/>
        <v>1.8774999999999999</v>
      </c>
      <c r="E114" s="300">
        <f t="shared" si="161"/>
        <v>2.7439</v>
      </c>
      <c r="F114" s="300">
        <f t="shared" si="161"/>
        <v>3.1478999999999999</v>
      </c>
      <c r="G114" s="300">
        <f t="shared" si="161"/>
        <v>3.5274999999999999</v>
      </c>
      <c r="H114" s="300">
        <f t="shared" si="161"/>
        <v>3.8809999999999998</v>
      </c>
      <c r="R114" s="263"/>
      <c r="Z114" s="263"/>
      <c r="AM114" s="269"/>
      <c r="AN114" s="269"/>
      <c r="AO114" s="269"/>
      <c r="AP114" s="269"/>
    </row>
    <row r="115" spans="1:42" ht="26.1" customHeight="1">
      <c r="A115" s="299" t="s">
        <v>228</v>
      </c>
      <c r="B115" s="300">
        <f>ABS(ROUND($G$30*B111*$B$30^2,4))</f>
        <v>0.47820000000000001</v>
      </c>
      <c r="C115" s="300">
        <f t="shared" ref="C115:H115" si="162">ABS(ROUND($G$30*C111*$B$30^2,4))</f>
        <v>0.95279999999999998</v>
      </c>
      <c r="D115" s="300">
        <f t="shared" si="162"/>
        <v>1.8774999999999999</v>
      </c>
      <c r="E115" s="300">
        <f t="shared" si="162"/>
        <v>2.7439</v>
      </c>
      <c r="F115" s="300">
        <f t="shared" si="162"/>
        <v>3.1478999999999999</v>
      </c>
      <c r="G115" s="300">
        <f t="shared" si="162"/>
        <v>3.5274999999999999</v>
      </c>
      <c r="H115" s="300">
        <f t="shared" si="162"/>
        <v>3.8809999999999998</v>
      </c>
      <c r="R115" s="263"/>
      <c r="Z115" s="263"/>
      <c r="AM115" s="269"/>
      <c r="AN115" s="269"/>
      <c r="AO115" s="269"/>
      <c r="AP115" s="269"/>
    </row>
    <row r="116" spans="1:42" ht="26.1" customHeight="1">
      <c r="A116" s="301" t="s">
        <v>367</v>
      </c>
      <c r="B116" s="302">
        <f>ABS(ROUND($G$86*B107*$B$29,4))</f>
        <v>0.4461</v>
      </c>
      <c r="C116" s="302">
        <f t="shared" ref="C116:H116" si="163">ABS(ROUND($G$86*C107*$B$29,4))</f>
        <v>0.51459999999999995</v>
      </c>
      <c r="D116" s="302">
        <f t="shared" si="163"/>
        <v>0.18529999999999999</v>
      </c>
      <c r="E116" s="302">
        <f t="shared" si="163"/>
        <v>0.87329999999999997</v>
      </c>
      <c r="F116" s="302">
        <f t="shared" si="163"/>
        <v>1.0278</v>
      </c>
      <c r="G116" s="302">
        <f t="shared" si="163"/>
        <v>1.4604999999999999</v>
      </c>
      <c r="H116" s="302">
        <f t="shared" si="163"/>
        <v>1.7285999999999999</v>
      </c>
      <c r="R116" s="263"/>
      <c r="Z116" s="263"/>
      <c r="AM116" s="269"/>
      <c r="AN116" s="269"/>
      <c r="AO116" s="269"/>
      <c r="AP116" s="269"/>
    </row>
    <row r="117" spans="1:42" ht="26.1" customHeight="1">
      <c r="A117" s="301" t="s">
        <v>373</v>
      </c>
      <c r="B117" s="302">
        <f>ABS(ROUND($G$87*B107*$B$30,4))</f>
        <v>0.65239999999999998</v>
      </c>
      <c r="C117" s="302">
        <f t="shared" ref="C117:H117" si="164">ABS(ROUND($G$87*C107*$B$30,4))</f>
        <v>0.75249999999999995</v>
      </c>
      <c r="D117" s="302">
        <f t="shared" si="164"/>
        <v>0.27100000000000002</v>
      </c>
      <c r="E117" s="302">
        <f t="shared" si="164"/>
        <v>1.2771999999999999</v>
      </c>
      <c r="F117" s="302">
        <f t="shared" si="164"/>
        <v>1.5032000000000001</v>
      </c>
      <c r="G117" s="302">
        <f t="shared" si="164"/>
        <v>2.1360000000000001</v>
      </c>
      <c r="H117" s="302">
        <f t="shared" si="164"/>
        <v>2.5280999999999998</v>
      </c>
      <c r="R117" s="263"/>
      <c r="Z117" s="263"/>
      <c r="AM117" s="269"/>
      <c r="AN117" s="269"/>
      <c r="AO117" s="269"/>
      <c r="AP117" s="269"/>
    </row>
    <row r="118" spans="1:42" ht="26.1" customHeight="1">
      <c r="A118" s="277" t="s">
        <v>374</v>
      </c>
      <c r="B118" s="277">
        <f>ROUND($B$34*$B$7*$B$33/100*SIN(RADIANS(B35)),2)</f>
        <v>0.09</v>
      </c>
      <c r="C118" s="277">
        <f t="shared" ref="C118:H118" si="165">ROUND($B$34*$B$7*$B$33/100*SIN(RADIANS(C35)),2)</f>
        <v>0.17</v>
      </c>
      <c r="D118" s="277">
        <f t="shared" si="165"/>
        <v>0.34</v>
      </c>
      <c r="E118" s="277">
        <f t="shared" si="165"/>
        <v>0.5</v>
      </c>
      <c r="F118" s="277">
        <f t="shared" si="165"/>
        <v>0.56999999999999995</v>
      </c>
      <c r="G118" s="277">
        <f t="shared" si="165"/>
        <v>0.64</v>
      </c>
      <c r="H118" s="277">
        <f t="shared" si="165"/>
        <v>0.71</v>
      </c>
      <c r="R118" s="263"/>
      <c r="Z118" s="263"/>
      <c r="AM118" s="269"/>
      <c r="AN118" s="269"/>
      <c r="AO118" s="269"/>
      <c r="AP118" s="269"/>
    </row>
    <row r="119" spans="1:42" ht="26.1" customHeight="1">
      <c r="A119" s="277" t="s">
        <v>243</v>
      </c>
      <c r="B119" s="277">
        <f t="shared" ref="B119:H119" si="166">ROUND(B93*$B$10*$B$9*$B$34*B100*B96*B97,4)</f>
        <v>5.4657999999999998</v>
      </c>
      <c r="C119" s="277">
        <f t="shared" si="166"/>
        <v>3.6661000000000001</v>
      </c>
      <c r="D119" s="277">
        <f t="shared" si="166"/>
        <v>3.5112000000000001</v>
      </c>
      <c r="E119" s="277">
        <f t="shared" si="166"/>
        <v>3.9243000000000001</v>
      </c>
      <c r="F119" s="277">
        <f t="shared" si="166"/>
        <v>3.7694000000000001</v>
      </c>
      <c r="G119" s="277">
        <f t="shared" si="166"/>
        <v>3.3046000000000002</v>
      </c>
      <c r="H119" s="277">
        <f t="shared" si="166"/>
        <v>2.7883</v>
      </c>
      <c r="R119" s="263"/>
      <c r="Z119" s="263"/>
    </row>
    <row r="120" spans="1:42" ht="26.1" customHeight="1">
      <c r="A120" s="277" t="s">
        <v>245</v>
      </c>
      <c r="B120" s="277">
        <f>B118+B119</f>
        <v>5.5557999999999996</v>
      </c>
      <c r="C120" s="277">
        <f t="shared" ref="C120:H120" si="167">C118+C119</f>
        <v>3.8361000000000001</v>
      </c>
      <c r="D120" s="277">
        <f t="shared" si="167"/>
        <v>3.8512</v>
      </c>
      <c r="E120" s="277">
        <f t="shared" si="167"/>
        <v>4.4242999999999997</v>
      </c>
      <c r="F120" s="277">
        <f t="shared" si="167"/>
        <v>4.3394000000000004</v>
      </c>
      <c r="G120" s="277">
        <f t="shared" si="167"/>
        <v>3.9445999999999999</v>
      </c>
      <c r="H120" s="277">
        <f t="shared" si="167"/>
        <v>3.4983</v>
      </c>
      <c r="R120" s="263"/>
      <c r="Z120" s="263"/>
    </row>
    <row r="121" spans="1:42" ht="26.1" customHeight="1">
      <c r="A121" s="389" t="s">
        <v>247</v>
      </c>
      <c r="B121" s="389"/>
      <c r="C121" s="389"/>
      <c r="D121" s="389"/>
      <c r="E121" s="389"/>
      <c r="F121" s="389"/>
      <c r="G121" s="389"/>
      <c r="H121" s="389"/>
      <c r="R121" s="263"/>
      <c r="Z121" s="263"/>
    </row>
    <row r="122" spans="1:42" ht="26.1" customHeight="1">
      <c r="A122" s="395"/>
      <c r="B122" s="395"/>
      <c r="C122" s="395"/>
      <c r="D122" s="395"/>
      <c r="E122" s="395"/>
      <c r="F122" s="395"/>
      <c r="G122" s="395"/>
      <c r="H122" s="395"/>
      <c r="R122" s="263"/>
      <c r="Z122" s="263"/>
    </row>
    <row r="123" spans="1:42" ht="26.1" customHeight="1">
      <c r="A123" s="395"/>
      <c r="B123" s="395"/>
      <c r="C123" s="395"/>
      <c r="D123" s="395"/>
      <c r="E123" s="395"/>
      <c r="F123" s="395"/>
      <c r="G123" s="395"/>
      <c r="H123" s="395"/>
      <c r="R123" s="263"/>
      <c r="Z123" s="263"/>
    </row>
    <row r="124" spans="1:42" ht="26.1" customHeight="1">
      <c r="A124" s="396"/>
      <c r="B124" s="396"/>
      <c r="C124" s="396"/>
      <c r="D124" s="396"/>
      <c r="E124" s="396"/>
      <c r="F124" s="396"/>
      <c r="G124" s="396"/>
      <c r="H124" s="396"/>
      <c r="R124" s="263"/>
      <c r="Z124" s="263"/>
    </row>
    <row r="125" spans="1:42" ht="26.1" customHeight="1">
      <c r="A125" s="276" t="s">
        <v>248</v>
      </c>
      <c r="B125" s="277">
        <f t="shared" ref="B125:H125" si="168">ROUND(MAX(B112:B113)*1000000/$B$17+MAX(B114:B115)*1000000/$B$18,2)</f>
        <v>21.77</v>
      </c>
      <c r="C125" s="277">
        <f t="shared" si="168"/>
        <v>29.94</v>
      </c>
      <c r="D125" s="277">
        <f t="shared" si="168"/>
        <v>29.25</v>
      </c>
      <c r="E125" s="277">
        <f t="shared" si="168"/>
        <v>64.37</v>
      </c>
      <c r="F125" s="277">
        <f t="shared" si="168"/>
        <v>74.78</v>
      </c>
      <c r="G125" s="277">
        <f t="shared" si="168"/>
        <v>94.87</v>
      </c>
      <c r="H125" s="277">
        <f t="shared" si="168"/>
        <v>108.75</v>
      </c>
      <c r="R125" s="263"/>
      <c r="Z125" s="263"/>
    </row>
    <row r="126" spans="1:42" ht="26.1" customHeight="1">
      <c r="A126" s="277" t="s">
        <v>249</v>
      </c>
      <c r="B126" s="277">
        <f>ROUND(SQRT(MAX(B114:B115)^2+MAX(B116:B117)^2)*1000*$B$23,2)</f>
        <v>1.19</v>
      </c>
      <c r="C126" s="277">
        <f t="shared" ref="C126:H126" si="169">ROUND(SQRT(MAX(C114:C115)^2+MAX(C116:C117)^2)*1000*$B$23,2)</f>
        <v>1.79</v>
      </c>
      <c r="D126" s="277">
        <f t="shared" si="169"/>
        <v>2.8</v>
      </c>
      <c r="E126" s="277">
        <f t="shared" si="169"/>
        <v>4.46</v>
      </c>
      <c r="F126" s="277">
        <f t="shared" si="169"/>
        <v>5.14</v>
      </c>
      <c r="G126" s="277">
        <f t="shared" si="169"/>
        <v>6.08</v>
      </c>
      <c r="H126" s="277">
        <f t="shared" si="169"/>
        <v>6.83</v>
      </c>
      <c r="R126" s="263"/>
      <c r="Z126" s="263"/>
    </row>
    <row r="127" spans="1:42" ht="26.1" customHeight="1">
      <c r="A127" s="307" t="s">
        <v>250</v>
      </c>
      <c r="B127" s="277">
        <f>ROUND(B120*1000000*$B$24,2)</f>
        <v>59.64</v>
      </c>
      <c r="C127" s="277">
        <f t="shared" ref="C127:H127" si="170">ROUND(C120*1000000*$B$24,2)</f>
        <v>41.18</v>
      </c>
      <c r="D127" s="277">
        <f t="shared" si="170"/>
        <v>41.34</v>
      </c>
      <c r="E127" s="277">
        <f t="shared" si="170"/>
        <v>47.5</v>
      </c>
      <c r="F127" s="277">
        <f t="shared" si="170"/>
        <v>46.58</v>
      </c>
      <c r="G127" s="277">
        <f t="shared" si="170"/>
        <v>42.35</v>
      </c>
      <c r="H127" s="277">
        <f t="shared" si="170"/>
        <v>37.549999999999997</v>
      </c>
      <c r="R127" s="263"/>
      <c r="Z127" s="263"/>
    </row>
    <row r="128" spans="1:42" ht="26.1" customHeight="1">
      <c r="A128" s="276" t="s">
        <v>251</v>
      </c>
      <c r="B128" s="277">
        <f>ROUND(SQRT(B125^2+3*(B126+B127)^2),2)</f>
        <v>107.59</v>
      </c>
      <c r="C128" s="277">
        <f t="shared" ref="C128:H128" si="171">ROUND(SQRT(C125^2+3*(C126+C127)^2),2)</f>
        <v>80.22</v>
      </c>
      <c r="D128" s="277">
        <f t="shared" si="171"/>
        <v>81.86</v>
      </c>
      <c r="E128" s="277">
        <f t="shared" si="171"/>
        <v>110.65</v>
      </c>
      <c r="F128" s="277">
        <f t="shared" si="171"/>
        <v>116.69</v>
      </c>
      <c r="G128" s="277">
        <f t="shared" si="171"/>
        <v>126.64</v>
      </c>
      <c r="H128" s="277">
        <f t="shared" si="171"/>
        <v>133.16999999999999</v>
      </c>
      <c r="R128" s="263"/>
      <c r="Z128" s="263"/>
    </row>
    <row r="129" spans="1:26" ht="26.1" customHeight="1">
      <c r="A129" s="278" t="s">
        <v>252</v>
      </c>
      <c r="B129" s="308">
        <f>B128/$B$16</f>
        <v>0.28462962962963001</v>
      </c>
      <c r="C129" s="308">
        <f t="shared" ref="C129:H129" si="172">C128/$B$16</f>
        <v>0.21222222222222201</v>
      </c>
      <c r="D129" s="308">
        <f t="shared" si="172"/>
        <v>0.21656084656084701</v>
      </c>
      <c r="E129" s="308">
        <f t="shared" si="172"/>
        <v>0.292724867724868</v>
      </c>
      <c r="F129" s="308">
        <f t="shared" si="172"/>
        <v>0.30870370370370398</v>
      </c>
      <c r="G129" s="308">
        <f t="shared" si="172"/>
        <v>0.33502645502645501</v>
      </c>
      <c r="H129" s="308">
        <f t="shared" si="172"/>
        <v>0.352301587301587</v>
      </c>
      <c r="R129" s="263"/>
      <c r="Z129" s="263"/>
    </row>
    <row r="130" spans="1:26" ht="26.1" customHeight="1">
      <c r="A130" s="310" t="s">
        <v>265</v>
      </c>
      <c r="B130" s="290"/>
      <c r="C130" s="290"/>
      <c r="D130" s="290"/>
      <c r="E130" s="290"/>
      <c r="F130" s="290"/>
      <c r="G130" s="290"/>
      <c r="R130" s="263"/>
      <c r="Z130" s="263"/>
    </row>
    <row r="131" spans="1:26" ht="26.1" customHeight="1">
      <c r="A131" s="310"/>
      <c r="R131" s="263"/>
      <c r="Z131" s="263"/>
    </row>
    <row r="132" spans="1:26" ht="26.1" customHeight="1">
      <c r="A132" s="267" t="s">
        <v>103</v>
      </c>
      <c r="B132" s="268" t="s">
        <v>160</v>
      </c>
      <c r="R132" s="263"/>
      <c r="Z132" s="263"/>
    </row>
    <row r="133" spans="1:26" ht="26.1" customHeight="1">
      <c r="A133" s="267" t="s">
        <v>266</v>
      </c>
      <c r="B133" s="268" t="s">
        <v>267</v>
      </c>
      <c r="R133" s="263"/>
      <c r="Z133" s="263"/>
    </row>
    <row r="134" spans="1:26" ht="26.1" customHeight="1">
      <c r="A134" s="267" t="s">
        <v>268</v>
      </c>
      <c r="B134" s="272" t="str">
        <f>IF(B132="钢管",VLOOKUP(B133,$J$6:$U$13,2,FALSE),IF(B132="方管",VLOOKUP(B133,$AA$6:$AP$13,2,FALSE),IF(B132="H型钢",VLOOKUP(B133,$J$18:$U$27,2,FALSE),IF(B132="多棱管",VLOOKUP(B133,$J$31:$U$32,2,FALSE),IF(B132="几型钢",VLOOKUP(B133,$AA$31:$AP$32,2,FALSE),IF(B132="自定义",VLOOKUP(B133,$AA$18:$AI$27,2,FALSE)))))))</f>
        <v>Q355B</v>
      </c>
      <c r="R134" s="263"/>
      <c r="Z134" s="263"/>
    </row>
    <row r="135" spans="1:26" ht="26.1" customHeight="1">
      <c r="A135" s="267" t="s">
        <v>108</v>
      </c>
      <c r="B135" s="272">
        <f>IF(B134="Q355B",310,IF(B134="Q235B",210,IF(B134="Q420B",380)))</f>
        <v>310</v>
      </c>
      <c r="C135" s="271" t="s">
        <v>109</v>
      </c>
      <c r="R135" s="263"/>
      <c r="Z135" s="263"/>
    </row>
    <row r="136" spans="1:26" ht="26.1" customHeight="1">
      <c r="A136" s="267" t="s">
        <v>269</v>
      </c>
      <c r="B136" s="272">
        <f>IF(B132="钢管",VLOOKUP(B133,$J$6:$U$13,11,FALSE),IF(B132="方管",VLOOKUP(B133,$AA$6:$AP$13,15,FALSE),IF(B132="H型钢",VLOOKUP(B133,$J$18:$U$27,11,FALSE),IF(B132="多棱管",VLOOKUP(B133,$J$31:$U$32,11,FALSE),IF(B132="几型钢",VLOOKUP(B133,$AA$31:$AP$32,15,FALSE),IF(B132="自定义",VLOOKUP(B133,$AA$18:$AI$27,6,FALSE)))))))</f>
        <v>3401.1</v>
      </c>
      <c r="C136" s="271" t="s">
        <v>115</v>
      </c>
      <c r="R136" s="263"/>
      <c r="Z136" s="263"/>
    </row>
    <row r="137" spans="1:26" ht="26.1" customHeight="1">
      <c r="A137" s="267" t="s">
        <v>270</v>
      </c>
      <c r="B137" s="272">
        <f>IF(B132="钢管",VLOOKUP(B133,$J$6:$U$13,12,FALSE),IF(B132="方管",VLOOKUP(B133,$AA$6:$AP$13,16,FALSE),IF(B132="H型钢",VLOOKUP(B133,$J$18:$U$27,12,FALSE),IF(B132="多棱管",VLOOKUP(B133,$J$31:$U$32,12,FALSE),IF(B132="几型钢",VLOOKUP(B133,$AA$31:$AP$32,16,FALSE),IF(B132="自定义",VLOOKUP(B133,$AA$18:$AI$27,7,FALSE)))))))</f>
        <v>2339.3200000000002</v>
      </c>
      <c r="C137" s="271" t="s">
        <v>115</v>
      </c>
      <c r="R137" s="263"/>
      <c r="Z137" s="263"/>
    </row>
    <row r="138" spans="1:26" ht="26.1" customHeight="1">
      <c r="A138" s="292" t="s">
        <v>150</v>
      </c>
      <c r="B138" s="272">
        <f>IF(B132="钢管",VLOOKUP(B133,$J$6:$U$13,9,FALSE),IF(B132="方管",VLOOKUP(B133,$AA$6:$AP$13,13,FALSE),IF(B132="H型钢",VLOOKUP(B133,$J$18:$U$27,9,FALSE),IF(B132="多棱管",VLOOKUP(B133,$J$31:$U$32,9,FALSE),IF(B132="几型钢",VLOOKUP(B133,$AA$31:$AP$32,13,FALSE),IF(B132="自定义",VLOOKUP(B133,$AA$18:$AI$27,4,FALSE)))))))</f>
        <v>96965.19</v>
      </c>
      <c r="C138" s="271" t="s">
        <v>151</v>
      </c>
      <c r="R138" s="263"/>
      <c r="Z138" s="263"/>
    </row>
    <row r="139" spans="1:26" ht="26.1" customHeight="1">
      <c r="A139" s="267" t="s">
        <v>271</v>
      </c>
      <c r="B139" s="272">
        <f>IF(B132="钢管",VLOOKUP(B133,$J$6:$U$13,10,FALSE),IF(B132="方管",VLOOKUP(B133,$AA$6:$AP$13,14,FALSE),IF(B132="H型钢",VLOOKUP(B133,$J$18:$U$27,10,FALSE),IF(B132="多棱管",VLOOKUP(B133,$J$31:$U$32,10,FALSE),IF(B132="几型钢",VLOOKUP(B133,$AA$31:$AP$32,14,FALSE),IF(B132="自定义",VLOOKUP(B133,$AA$18:$AI$27,5,FALSE)))))))</f>
        <v>93572.88</v>
      </c>
      <c r="C139" s="271" t="s">
        <v>151</v>
      </c>
      <c r="R139" s="263"/>
      <c r="Z139" s="263"/>
    </row>
    <row r="140" spans="1:26" ht="26.1" customHeight="1">
      <c r="A140" s="267" t="s">
        <v>272</v>
      </c>
      <c r="B140" s="293">
        <v>206000</v>
      </c>
      <c r="C140" s="271" t="s">
        <v>109</v>
      </c>
      <c r="R140" s="263"/>
      <c r="Z140" s="263"/>
    </row>
    <row r="141" spans="1:26" ht="26.1" customHeight="1">
      <c r="A141" s="267" t="s">
        <v>273</v>
      </c>
      <c r="B141" s="272">
        <f>IF(B132="钢管",VLOOKUP(B133,$J$6:$U$13,7,FALSE),IF(B132="方管",VLOOKUP(B133,$AA$6:$AP$13,11,FALSE),IF(B132="H型钢",VLOOKUP(B133,$J$18:$U$27,7,FALSE),IF(B132="多棱管",VLOOKUP(B133,$J$31:$U$32,7,FALSE),IF(B132="几型钢",VLOOKUP(B133,$AA$31:$AP$32,11,FALSE),IF(B132="自定义",VLOOKUP(B133,$AA$18:$AI$27,9,FALSE)))))))</f>
        <v>0.02</v>
      </c>
      <c r="C141" s="271" t="s">
        <v>155</v>
      </c>
      <c r="D141" s="263" t="s">
        <v>274</v>
      </c>
      <c r="E141" s="263">
        <f>(B144-B142)/2</f>
        <v>-8.0000000000000099E-2</v>
      </c>
      <c r="F141" s="271" t="s">
        <v>36</v>
      </c>
      <c r="R141" s="263"/>
      <c r="Z141" s="263"/>
    </row>
    <row r="142" spans="1:26" ht="26.1" customHeight="1">
      <c r="A142" s="267" t="s">
        <v>275</v>
      </c>
      <c r="B142" s="268">
        <v>4.6719999999999997</v>
      </c>
      <c r="C142" s="271" t="s">
        <v>36</v>
      </c>
      <c r="D142" s="263" t="s">
        <v>276</v>
      </c>
      <c r="E142" s="263">
        <f>B142</f>
        <v>4.6719999999999997</v>
      </c>
      <c r="F142" s="271" t="s">
        <v>36</v>
      </c>
      <c r="R142" s="263"/>
      <c r="Z142" s="263"/>
    </row>
    <row r="143" spans="1:26" ht="26.1" customHeight="1">
      <c r="A143" s="267" t="s">
        <v>277</v>
      </c>
      <c r="B143" s="268">
        <v>0.152</v>
      </c>
      <c r="C143" s="271" t="s">
        <v>36</v>
      </c>
      <c r="D143" s="263" t="s">
        <v>278</v>
      </c>
      <c r="E143" s="263">
        <f>(B142-B143)/2</f>
        <v>2.2599999999999998</v>
      </c>
      <c r="F143" s="271" t="s">
        <v>36</v>
      </c>
      <c r="R143" s="263"/>
      <c r="Z143" s="263"/>
    </row>
    <row r="144" spans="1:26" ht="26.1" customHeight="1">
      <c r="A144" s="267" t="s">
        <v>279</v>
      </c>
      <c r="B144" s="263">
        <f>B9</f>
        <v>4.5119999999999996</v>
      </c>
      <c r="C144" s="271" t="s">
        <v>36</v>
      </c>
      <c r="R144" s="263"/>
      <c r="Z144" s="263"/>
    </row>
    <row r="145" spans="1:26" ht="26.1" customHeight="1">
      <c r="A145" s="267"/>
      <c r="C145" s="271"/>
      <c r="R145" s="263"/>
      <c r="Z145" s="263"/>
    </row>
    <row r="146" spans="1:26" ht="26.1" customHeight="1">
      <c r="A146" s="267"/>
      <c r="C146" s="271"/>
      <c r="R146" s="263"/>
      <c r="Z146" s="263"/>
    </row>
    <row r="147" spans="1:26" ht="26.1" customHeight="1">
      <c r="A147" s="271"/>
      <c r="C147" s="271"/>
      <c r="R147" s="263"/>
      <c r="Z147" s="263"/>
    </row>
    <row r="148" spans="1:26" ht="26.1" customHeight="1">
      <c r="A148" s="267"/>
      <c r="C148" s="271"/>
      <c r="R148" s="263"/>
      <c r="Z148" s="263"/>
    </row>
    <row r="149" spans="1:26" ht="26.1" customHeight="1">
      <c r="A149" s="267"/>
      <c r="C149" s="271"/>
      <c r="R149" s="263"/>
      <c r="Z149" s="263"/>
    </row>
    <row r="150" spans="1:26" ht="26.1" customHeight="1">
      <c r="A150" s="291" t="s">
        <v>280</v>
      </c>
      <c r="C150" s="271"/>
      <c r="R150" s="263"/>
      <c r="Z150" s="263"/>
    </row>
    <row r="151" spans="1:26" ht="26.1" customHeight="1">
      <c r="A151" s="311" t="s">
        <v>281</v>
      </c>
      <c r="B151" s="277">
        <f t="shared" ref="B151:H152" si="173">B90</f>
        <v>5</v>
      </c>
      <c r="C151" s="277">
        <f t="shared" si="173"/>
        <v>10</v>
      </c>
      <c r="D151" s="277">
        <f t="shared" si="173"/>
        <v>20</v>
      </c>
      <c r="E151" s="277">
        <f t="shared" si="173"/>
        <v>30</v>
      </c>
      <c r="F151" s="277">
        <f t="shared" si="173"/>
        <v>35</v>
      </c>
      <c r="G151" s="277">
        <f t="shared" si="173"/>
        <v>40</v>
      </c>
      <c r="H151" s="277">
        <f t="shared" si="173"/>
        <v>45</v>
      </c>
      <c r="R151" s="263"/>
      <c r="Z151" s="263"/>
    </row>
    <row r="152" spans="1:26" ht="26.1" customHeight="1">
      <c r="A152" s="277" t="s">
        <v>190</v>
      </c>
      <c r="B152" s="277" t="str">
        <f t="shared" si="173"/>
        <v>抗风模式</v>
      </c>
      <c r="C152" s="277" t="str">
        <f t="shared" si="173"/>
        <v>运行模式</v>
      </c>
      <c r="D152" s="277" t="str">
        <f t="shared" si="173"/>
        <v>运行模式</v>
      </c>
      <c r="E152" s="277" t="str">
        <f t="shared" si="173"/>
        <v>运行模式</v>
      </c>
      <c r="F152" s="277" t="str">
        <f t="shared" si="173"/>
        <v>运行模式</v>
      </c>
      <c r="G152" s="277" t="str">
        <f t="shared" si="173"/>
        <v>运行模式</v>
      </c>
      <c r="H152" s="277" t="str">
        <f t="shared" si="173"/>
        <v>运行模式</v>
      </c>
      <c r="R152" s="263"/>
      <c r="Z152" s="263"/>
    </row>
    <row r="153" spans="1:26" ht="26.1" customHeight="1">
      <c r="A153" s="276" t="s">
        <v>194</v>
      </c>
      <c r="B153" s="277">
        <f t="shared" ref="B153:H153" si="174">B93</f>
        <v>0.31</v>
      </c>
      <c r="C153" s="277">
        <f t="shared" si="174"/>
        <v>0.123</v>
      </c>
      <c r="D153" s="277">
        <f t="shared" si="174"/>
        <v>0.123</v>
      </c>
      <c r="E153" s="277">
        <f t="shared" si="174"/>
        <v>0.123</v>
      </c>
      <c r="F153" s="277">
        <f t="shared" si="174"/>
        <v>0.123</v>
      </c>
      <c r="G153" s="277">
        <f t="shared" si="174"/>
        <v>0.123</v>
      </c>
      <c r="H153" s="277">
        <f t="shared" si="174"/>
        <v>0.123</v>
      </c>
      <c r="R153" s="263"/>
      <c r="Z153" s="263"/>
    </row>
    <row r="154" spans="1:26" ht="26.1" customHeight="1">
      <c r="A154" s="276" t="s">
        <v>195</v>
      </c>
      <c r="B154" s="277">
        <f t="shared" ref="B154:H155" si="175">B39</f>
        <v>0.27</v>
      </c>
      <c r="C154" s="277">
        <f t="shared" si="175"/>
        <v>0.47</v>
      </c>
      <c r="D154" s="277">
        <f t="shared" si="175"/>
        <v>0.73</v>
      </c>
      <c r="E154" s="277">
        <f t="shared" si="175"/>
        <v>0.9</v>
      </c>
      <c r="F154" s="277">
        <f t="shared" si="175"/>
        <v>0.93</v>
      </c>
      <c r="G154" s="277">
        <f t="shared" si="175"/>
        <v>0.92</v>
      </c>
      <c r="H154" s="277">
        <f t="shared" si="175"/>
        <v>1.08</v>
      </c>
      <c r="K154" s="69"/>
      <c r="R154" s="263"/>
      <c r="Z154" s="263"/>
    </row>
    <row r="155" spans="1:26" ht="26.1" customHeight="1">
      <c r="A155" s="276" t="s">
        <v>196</v>
      </c>
      <c r="B155" s="277">
        <f t="shared" si="175"/>
        <v>0.69</v>
      </c>
      <c r="C155" s="277">
        <f t="shared" si="175"/>
        <v>1.18</v>
      </c>
      <c r="D155" s="277">
        <f t="shared" si="175"/>
        <v>1.41</v>
      </c>
      <c r="E155" s="277">
        <f t="shared" si="175"/>
        <v>1.66</v>
      </c>
      <c r="F155" s="277">
        <f t="shared" si="175"/>
        <v>1.66</v>
      </c>
      <c r="G155" s="277">
        <f t="shared" si="175"/>
        <v>1.66</v>
      </c>
      <c r="H155" s="277">
        <f t="shared" si="175"/>
        <v>1.66</v>
      </c>
      <c r="R155" s="263"/>
      <c r="Z155" s="263"/>
    </row>
    <row r="156" spans="1:26" ht="26.1" customHeight="1">
      <c r="A156" s="276" t="s">
        <v>198</v>
      </c>
      <c r="B156" s="274">
        <v>1.3</v>
      </c>
      <c r="C156" s="274">
        <v>1.3</v>
      </c>
      <c r="D156" s="274">
        <v>1.3</v>
      </c>
      <c r="E156" s="274">
        <v>1.3</v>
      </c>
      <c r="F156" s="274">
        <v>1.3</v>
      </c>
      <c r="G156" s="274">
        <v>1.3</v>
      </c>
      <c r="H156" s="274">
        <v>1.3</v>
      </c>
      <c r="R156" s="263"/>
      <c r="Z156" s="263"/>
    </row>
    <row r="157" spans="1:26" ht="26.1" customHeight="1">
      <c r="A157" s="278" t="s">
        <v>204</v>
      </c>
      <c r="B157" s="277">
        <f t="shared" ref="B157:H157" si="176">B153*B154*B156</f>
        <v>0.10881</v>
      </c>
      <c r="C157" s="277">
        <f t="shared" si="176"/>
        <v>7.5152999999999998E-2</v>
      </c>
      <c r="D157" s="277">
        <f t="shared" si="176"/>
        <v>0.116727</v>
      </c>
      <c r="E157" s="277">
        <f t="shared" si="176"/>
        <v>0.14391000000000001</v>
      </c>
      <c r="F157" s="277">
        <f t="shared" si="176"/>
        <v>0.14870700000000001</v>
      </c>
      <c r="G157" s="277">
        <f t="shared" si="176"/>
        <v>0.14710799999999999</v>
      </c>
      <c r="H157" s="277">
        <f t="shared" si="176"/>
        <v>0.17269200000000001</v>
      </c>
      <c r="R157" s="263"/>
      <c r="Z157" s="263"/>
    </row>
    <row r="158" spans="1:26" ht="26.1" customHeight="1">
      <c r="A158" s="279" t="s">
        <v>205</v>
      </c>
      <c r="B158" s="277">
        <f>B153*B155*B156</f>
        <v>0.27806999999999998</v>
      </c>
      <c r="C158" s="277">
        <f>C153*C155*C156</f>
        <v>0.18868199999999999</v>
      </c>
      <c r="D158" s="277">
        <f t="shared" ref="D158:H158" si="177">D153*D155*D156</f>
        <v>0.22545899999999999</v>
      </c>
      <c r="E158" s="277">
        <f t="shared" si="177"/>
        <v>0.265434</v>
      </c>
      <c r="F158" s="277">
        <f t="shared" si="177"/>
        <v>0.265434</v>
      </c>
      <c r="G158" s="277">
        <f t="shared" si="177"/>
        <v>0.265434</v>
      </c>
      <c r="H158" s="277">
        <f t="shared" si="177"/>
        <v>0.265434</v>
      </c>
      <c r="R158" s="263"/>
      <c r="Z158" s="263"/>
    </row>
    <row r="159" spans="1:26" ht="26.1" customHeight="1">
      <c r="A159" s="279" t="s">
        <v>206</v>
      </c>
      <c r="B159" s="277">
        <f t="shared" ref="B159:H160" si="178">B45</f>
        <v>1.4</v>
      </c>
      <c r="C159" s="277">
        <f t="shared" si="178"/>
        <v>1.4</v>
      </c>
      <c r="D159" s="277">
        <f t="shared" si="178"/>
        <v>1.4</v>
      </c>
      <c r="E159" s="277">
        <f t="shared" si="178"/>
        <v>1.4</v>
      </c>
      <c r="F159" s="277">
        <f t="shared" si="178"/>
        <v>1.4</v>
      </c>
      <c r="G159" s="277">
        <f t="shared" si="178"/>
        <v>1.4</v>
      </c>
      <c r="H159" s="277">
        <f t="shared" si="178"/>
        <v>1.4</v>
      </c>
      <c r="R159" s="263"/>
      <c r="Z159" s="263"/>
    </row>
    <row r="160" spans="1:26" ht="26.1" customHeight="1">
      <c r="A160" s="279" t="s">
        <v>207</v>
      </c>
      <c r="B160" s="277">
        <f t="shared" si="178"/>
        <v>1.2</v>
      </c>
      <c r="C160" s="277">
        <f t="shared" si="178"/>
        <v>1.2</v>
      </c>
      <c r="D160" s="277">
        <f t="shared" si="178"/>
        <v>1.2</v>
      </c>
      <c r="E160" s="277">
        <f t="shared" si="178"/>
        <v>1.2</v>
      </c>
      <c r="F160" s="277">
        <f t="shared" si="178"/>
        <v>1.2</v>
      </c>
      <c r="G160" s="277">
        <f t="shared" si="178"/>
        <v>1.2</v>
      </c>
      <c r="H160" s="277">
        <f t="shared" si="178"/>
        <v>1.2</v>
      </c>
      <c r="R160" s="263"/>
      <c r="Z160" s="263"/>
    </row>
    <row r="161" spans="1:26" ht="26.1" customHeight="1">
      <c r="A161" s="279" t="s">
        <v>282</v>
      </c>
      <c r="B161" s="277">
        <f>ROUND(B159*B157*$B$10/2,4)</f>
        <v>0.38940000000000002</v>
      </c>
      <c r="C161" s="277">
        <f t="shared" ref="C161:H161" si="179">ROUND(C159*C157*$B$10/2,4)</f>
        <v>0.26889999999999997</v>
      </c>
      <c r="D161" s="277">
        <f t="shared" si="179"/>
        <v>0.41770000000000002</v>
      </c>
      <c r="E161" s="277">
        <f t="shared" si="179"/>
        <v>0.51500000000000001</v>
      </c>
      <c r="F161" s="277">
        <f t="shared" si="179"/>
        <v>0.53210000000000002</v>
      </c>
      <c r="G161" s="277">
        <f t="shared" si="179"/>
        <v>0.52639999999999998</v>
      </c>
      <c r="H161" s="277">
        <f t="shared" si="179"/>
        <v>0.61799999999999999</v>
      </c>
      <c r="R161" s="263"/>
      <c r="Z161" s="263"/>
    </row>
    <row r="162" spans="1:26" ht="26.1" customHeight="1">
      <c r="A162" s="279" t="s">
        <v>283</v>
      </c>
      <c r="B162" s="277">
        <f>ROUND(B159*B158*$B$10/2,4)</f>
        <v>0.99509999999999998</v>
      </c>
      <c r="C162" s="277">
        <f t="shared" ref="C162:H162" si="180">ROUND(C159*C158*$B$10/2,4)</f>
        <v>0.67520000000000002</v>
      </c>
      <c r="D162" s="277">
        <f t="shared" si="180"/>
        <v>0.80679999999999996</v>
      </c>
      <c r="E162" s="277">
        <f t="shared" si="180"/>
        <v>0.94979999999999998</v>
      </c>
      <c r="F162" s="277">
        <f t="shared" si="180"/>
        <v>0.94979999999999998</v>
      </c>
      <c r="G162" s="277">
        <f t="shared" si="180"/>
        <v>0.94979999999999998</v>
      </c>
      <c r="H162" s="277">
        <f t="shared" si="180"/>
        <v>0.94979999999999998</v>
      </c>
      <c r="R162" s="263"/>
      <c r="Z162" s="263"/>
    </row>
    <row r="163" spans="1:26" ht="26.1" customHeight="1">
      <c r="A163" s="279" t="s">
        <v>284</v>
      </c>
      <c r="B163" s="277">
        <f>ROUND(B161/(0.5*$B$144),4)</f>
        <v>0.1726</v>
      </c>
      <c r="C163" s="277">
        <f t="shared" ref="C163:H164" si="181">ROUND(C161/(0.5*$B$144),4)</f>
        <v>0.1192</v>
      </c>
      <c r="D163" s="277">
        <f t="shared" si="181"/>
        <v>0.1852</v>
      </c>
      <c r="E163" s="277">
        <f t="shared" si="181"/>
        <v>0.2283</v>
      </c>
      <c r="F163" s="277">
        <f t="shared" si="181"/>
        <v>0.2359</v>
      </c>
      <c r="G163" s="277">
        <f t="shared" si="181"/>
        <v>0.23330000000000001</v>
      </c>
      <c r="H163" s="277">
        <f t="shared" si="181"/>
        <v>0.27389999999999998</v>
      </c>
      <c r="R163" s="263"/>
      <c r="Z163" s="263"/>
    </row>
    <row r="164" spans="1:26" ht="26.1" customHeight="1">
      <c r="A164" s="279" t="s">
        <v>285</v>
      </c>
      <c r="B164" s="277">
        <f>ROUND(B162/(0.5*$B$144),4)</f>
        <v>0.44109999999999999</v>
      </c>
      <c r="C164" s="277">
        <f t="shared" si="181"/>
        <v>0.29930000000000001</v>
      </c>
      <c r="D164" s="277">
        <f t="shared" si="181"/>
        <v>0.35759999999999997</v>
      </c>
      <c r="E164" s="277">
        <f t="shared" si="181"/>
        <v>0.42099999999999999</v>
      </c>
      <c r="F164" s="277">
        <f t="shared" si="181"/>
        <v>0.42099999999999999</v>
      </c>
      <c r="G164" s="277">
        <f t="shared" si="181"/>
        <v>0.42099999999999999</v>
      </c>
      <c r="H164" s="277">
        <f t="shared" si="181"/>
        <v>0.42099999999999999</v>
      </c>
      <c r="R164" s="263"/>
      <c r="Z164" s="263"/>
    </row>
    <row r="165" spans="1:26" ht="26.1" customHeight="1">
      <c r="A165" s="279" t="s">
        <v>286</v>
      </c>
      <c r="B165" s="277">
        <f t="shared" ref="B165:H165" si="182">ROUND(B160*$B$7/100*COS(RADIANS(B151))/$B$144,4)</f>
        <v>0.1696</v>
      </c>
      <c r="C165" s="277">
        <f t="shared" si="182"/>
        <v>0.1676</v>
      </c>
      <c r="D165" s="277">
        <f t="shared" si="182"/>
        <v>0.15989999999999999</v>
      </c>
      <c r="E165" s="277">
        <f t="shared" si="182"/>
        <v>0.1474</v>
      </c>
      <c r="F165" s="277">
        <f t="shared" si="182"/>
        <v>0.1394</v>
      </c>
      <c r="G165" s="277">
        <f t="shared" si="182"/>
        <v>0.13039999999999999</v>
      </c>
      <c r="H165" s="277">
        <f t="shared" si="182"/>
        <v>0.12039999999999999</v>
      </c>
      <c r="R165" s="263"/>
      <c r="Z165" s="263"/>
    </row>
    <row r="166" spans="1:26" ht="26.1" customHeight="1">
      <c r="A166" s="295" t="s">
        <v>287</v>
      </c>
      <c r="B166" s="296">
        <f>B163+B165</f>
        <v>0.3422</v>
      </c>
      <c r="C166" s="296">
        <f t="shared" ref="C166:H166" si="183">C163+C165</f>
        <v>0.2868</v>
      </c>
      <c r="D166" s="296">
        <f t="shared" si="183"/>
        <v>0.34510000000000002</v>
      </c>
      <c r="E166" s="296">
        <f t="shared" si="183"/>
        <v>0.37569999999999998</v>
      </c>
      <c r="F166" s="296">
        <f t="shared" si="183"/>
        <v>0.37530000000000002</v>
      </c>
      <c r="G166" s="296">
        <f t="shared" si="183"/>
        <v>0.36370000000000002</v>
      </c>
      <c r="H166" s="296">
        <f t="shared" si="183"/>
        <v>0.39429999999999998</v>
      </c>
      <c r="R166" s="263"/>
      <c r="Z166" s="263"/>
    </row>
    <row r="167" spans="1:26" ht="26.1" customHeight="1">
      <c r="A167" s="296" t="s">
        <v>288</v>
      </c>
      <c r="B167" s="296">
        <f>B164+B165</f>
        <v>0.61070000000000002</v>
      </c>
      <c r="C167" s="296">
        <f t="shared" ref="C167:H167" si="184">C164+C165</f>
        <v>0.46689999999999998</v>
      </c>
      <c r="D167" s="296">
        <f t="shared" si="184"/>
        <v>0.51749999999999996</v>
      </c>
      <c r="E167" s="296">
        <f t="shared" si="184"/>
        <v>0.56840000000000002</v>
      </c>
      <c r="F167" s="296">
        <f t="shared" si="184"/>
        <v>0.56040000000000001</v>
      </c>
      <c r="G167" s="296">
        <f t="shared" si="184"/>
        <v>0.5514</v>
      </c>
      <c r="H167" s="296">
        <f t="shared" si="184"/>
        <v>0.54139999999999999</v>
      </c>
      <c r="R167" s="263"/>
      <c r="Z167" s="263"/>
    </row>
    <row r="168" spans="1:26" ht="26.1" customHeight="1">
      <c r="A168" s="279" t="s">
        <v>289</v>
      </c>
      <c r="B168" s="277">
        <f>ROUND((B166*$B$144/2*(0.25*$B$144+$E$142*0.5)+B167*0.5*$E$142*0.25*$E$142-B167*$E$141*$E$141*0.5)/$E$142,4)</f>
        <v>0.92859999999999998</v>
      </c>
      <c r="C168" s="277">
        <f t="shared" ref="C168:H168" si="185">ROUND((C166*$B$144/2*(0.25*$B$144+$E$142*0.5)+C167*0.5*$E$142*0.25*$E$142-C167*$E$141*$E$141*0.5)/$E$142,4)</f>
        <v>0.75209999999999999</v>
      </c>
      <c r="D168" s="277">
        <f t="shared" si="185"/>
        <v>0.87909999999999999</v>
      </c>
      <c r="E168" s="277">
        <f t="shared" si="185"/>
        <v>0.96</v>
      </c>
      <c r="F168" s="277">
        <f t="shared" si="185"/>
        <v>0.9546</v>
      </c>
      <c r="G168" s="277">
        <f t="shared" si="185"/>
        <v>0.93</v>
      </c>
      <c r="H168" s="277">
        <f t="shared" si="185"/>
        <v>0.97529999999999994</v>
      </c>
      <c r="R168" s="263"/>
      <c r="Z168" s="263"/>
    </row>
    <row r="169" spans="1:26" ht="26.1" customHeight="1">
      <c r="A169" s="279" t="s">
        <v>290</v>
      </c>
      <c r="B169" s="277">
        <f>ROUND((B167*$B$144*0.5*($B$144*0.25+0.5*$E$142)+B166*$E$142*0.5*0.25*$E$142-B166*$E$141*$E$141*0.5)/$E$142,4)</f>
        <v>1.2211000000000001</v>
      </c>
      <c r="C169" s="277">
        <f t="shared" ref="C169:H169" si="186">ROUND((C167*$B$144*0.5*($B$144*0.25+0.5*$E$142)+C166*$E$142*0.5*0.25*$E$142-C166*$E$141*$E$141*0.5)/$E$142,4)</f>
        <v>0.94830000000000003</v>
      </c>
      <c r="D169" s="277">
        <f t="shared" si="186"/>
        <v>1.0669</v>
      </c>
      <c r="E169" s="277">
        <f t="shared" si="186"/>
        <v>1.1698999999999999</v>
      </c>
      <c r="F169" s="277">
        <f t="shared" si="186"/>
        <v>1.1563000000000001</v>
      </c>
      <c r="G169" s="277">
        <f t="shared" si="186"/>
        <v>1.1345000000000001</v>
      </c>
      <c r="H169" s="277">
        <f t="shared" si="186"/>
        <v>1.1355999999999999</v>
      </c>
      <c r="R169" s="263"/>
      <c r="Z169" s="263"/>
    </row>
    <row r="170" spans="1:26" ht="26.1" customHeight="1">
      <c r="A170" s="277" t="s">
        <v>291</v>
      </c>
      <c r="B170" s="277">
        <f t="shared" ref="B170:H171" si="187">ROUND(B168*$E$143,4)</f>
        <v>2.0985999999999998</v>
      </c>
      <c r="C170" s="277">
        <f t="shared" si="187"/>
        <v>1.6997</v>
      </c>
      <c r="D170" s="277">
        <f t="shared" si="187"/>
        <v>1.9867999999999999</v>
      </c>
      <c r="E170" s="277">
        <f t="shared" si="187"/>
        <v>2.1696</v>
      </c>
      <c r="F170" s="277">
        <f t="shared" si="187"/>
        <v>2.1574</v>
      </c>
      <c r="G170" s="277">
        <f t="shared" si="187"/>
        <v>2.1017999999999999</v>
      </c>
      <c r="H170" s="277">
        <f t="shared" si="187"/>
        <v>2.2042000000000002</v>
      </c>
      <c r="R170" s="263"/>
      <c r="Z170" s="263"/>
    </row>
    <row r="171" spans="1:26" ht="26.1" customHeight="1">
      <c r="A171" s="277" t="s">
        <v>292</v>
      </c>
      <c r="B171" s="277">
        <f>ROUND(B169*$E$143,4)</f>
        <v>2.7597</v>
      </c>
      <c r="C171" s="277">
        <f t="shared" si="187"/>
        <v>2.1432000000000002</v>
      </c>
      <c r="D171" s="277">
        <f t="shared" si="187"/>
        <v>2.4112</v>
      </c>
      <c r="E171" s="277">
        <f t="shared" si="187"/>
        <v>2.6440000000000001</v>
      </c>
      <c r="F171" s="277">
        <f t="shared" si="187"/>
        <v>2.6132</v>
      </c>
      <c r="G171" s="277">
        <f t="shared" si="187"/>
        <v>2.5640000000000001</v>
      </c>
      <c r="H171" s="277">
        <f t="shared" si="187"/>
        <v>2.5665</v>
      </c>
      <c r="R171" s="263"/>
      <c r="Z171" s="263"/>
    </row>
    <row r="172" spans="1:26" ht="26.1" customHeight="1">
      <c r="A172" s="277" t="s">
        <v>293</v>
      </c>
      <c r="B172" s="277">
        <f>ROUND(B170*1000000/$B$136,3)</f>
        <v>617.03599999999994</v>
      </c>
      <c r="C172" s="277">
        <f t="shared" ref="C172:H173" si="188">ROUND(C170*1000000/$B$136,3)</f>
        <v>499.75</v>
      </c>
      <c r="D172" s="277">
        <f t="shared" si="188"/>
        <v>584.16399999999999</v>
      </c>
      <c r="E172" s="277">
        <f t="shared" si="188"/>
        <v>637.91099999999994</v>
      </c>
      <c r="F172" s="277">
        <f t="shared" si="188"/>
        <v>634.32399999999996</v>
      </c>
      <c r="G172" s="277">
        <f t="shared" si="188"/>
        <v>617.97699999999998</v>
      </c>
      <c r="H172" s="277">
        <f t="shared" si="188"/>
        <v>648.08399999999995</v>
      </c>
      <c r="R172" s="263"/>
      <c r="Z172" s="263"/>
    </row>
    <row r="173" spans="1:26" ht="26.1" customHeight="1">
      <c r="A173" s="277" t="s">
        <v>294</v>
      </c>
      <c r="B173" s="277">
        <f>ROUND(B171*1000000/$B$136,3)</f>
        <v>811.41399999999999</v>
      </c>
      <c r="C173" s="277">
        <f t="shared" si="188"/>
        <v>630.149</v>
      </c>
      <c r="D173" s="277">
        <f t="shared" si="188"/>
        <v>708.947</v>
      </c>
      <c r="E173" s="277">
        <f t="shared" si="188"/>
        <v>777.39599999999996</v>
      </c>
      <c r="F173" s="277">
        <f t="shared" si="188"/>
        <v>768.34</v>
      </c>
      <c r="G173" s="277">
        <f t="shared" si="188"/>
        <v>753.87400000000002</v>
      </c>
      <c r="H173" s="277">
        <f t="shared" si="188"/>
        <v>754.60900000000004</v>
      </c>
      <c r="R173" s="263"/>
      <c r="Z173" s="263"/>
    </row>
    <row r="174" spans="1:26" ht="26.1" customHeight="1">
      <c r="A174" s="277" t="s">
        <v>295</v>
      </c>
      <c r="B174" s="308">
        <f>MAX(B172:B173)/$B$135</f>
        <v>2.6174645161290302</v>
      </c>
      <c r="C174" s="308">
        <f t="shared" ref="C174:H174" si="189">MAX(C172:C173)/$B$135</f>
        <v>2.0327387096774201</v>
      </c>
      <c r="D174" s="308">
        <f t="shared" si="189"/>
        <v>2.28692580645161</v>
      </c>
      <c r="E174" s="308">
        <f t="shared" si="189"/>
        <v>2.5077290322580601</v>
      </c>
      <c r="F174" s="308">
        <f t="shared" si="189"/>
        <v>2.4785161290322599</v>
      </c>
      <c r="G174" s="308">
        <f t="shared" si="189"/>
        <v>2.4318516129032299</v>
      </c>
      <c r="H174" s="308">
        <f t="shared" si="189"/>
        <v>2.4342225806451601</v>
      </c>
      <c r="R174" s="263"/>
      <c r="Z174" s="263"/>
    </row>
    <row r="175" spans="1:26" ht="26.1" customHeight="1">
      <c r="A175" s="310" t="s">
        <v>296</v>
      </c>
      <c r="R175" s="263"/>
      <c r="Z175" s="263"/>
    </row>
    <row r="176" spans="1:26" ht="26.1" customHeight="1">
      <c r="A176" s="267"/>
      <c r="C176" s="271"/>
      <c r="R176" s="263"/>
      <c r="Z176" s="263"/>
    </row>
    <row r="177" spans="1:26" ht="26.1" customHeight="1">
      <c r="A177" s="311" t="s">
        <v>281</v>
      </c>
      <c r="B177" s="277">
        <f>B90</f>
        <v>5</v>
      </c>
      <c r="C177" s="277">
        <f t="shared" ref="C177:H178" si="190">C90</f>
        <v>10</v>
      </c>
      <c r="D177" s="277">
        <f t="shared" si="190"/>
        <v>20</v>
      </c>
      <c r="E177" s="277">
        <f t="shared" si="190"/>
        <v>30</v>
      </c>
      <c r="F177" s="277">
        <f t="shared" si="190"/>
        <v>35</v>
      </c>
      <c r="G177" s="277">
        <f t="shared" si="190"/>
        <v>40</v>
      </c>
      <c r="H177" s="277">
        <f t="shared" si="190"/>
        <v>45</v>
      </c>
      <c r="R177" s="263"/>
      <c r="Z177" s="263"/>
    </row>
    <row r="178" spans="1:26" ht="26.1" customHeight="1">
      <c r="A178" s="277" t="s">
        <v>190</v>
      </c>
      <c r="B178" s="277" t="str">
        <f>B91</f>
        <v>抗风模式</v>
      </c>
      <c r="C178" s="277" t="str">
        <f t="shared" si="190"/>
        <v>运行模式</v>
      </c>
      <c r="D178" s="277" t="str">
        <f t="shared" si="190"/>
        <v>运行模式</v>
      </c>
      <c r="E178" s="277" t="str">
        <f t="shared" si="190"/>
        <v>运行模式</v>
      </c>
      <c r="F178" s="277" t="str">
        <f t="shared" si="190"/>
        <v>运行模式</v>
      </c>
      <c r="G178" s="277" t="str">
        <f t="shared" si="190"/>
        <v>运行模式</v>
      </c>
      <c r="H178" s="277" t="str">
        <f t="shared" si="190"/>
        <v>运行模式</v>
      </c>
      <c r="R178" s="263"/>
      <c r="Z178" s="263"/>
    </row>
    <row r="179" spans="1:26" ht="26.1" customHeight="1">
      <c r="A179" s="276" t="s">
        <v>194</v>
      </c>
      <c r="B179" s="277">
        <f>B93</f>
        <v>0.31</v>
      </c>
      <c r="C179" s="277">
        <f t="shared" ref="C179:H181" si="191">C93</f>
        <v>0.123</v>
      </c>
      <c r="D179" s="277">
        <f t="shared" si="191"/>
        <v>0.123</v>
      </c>
      <c r="E179" s="277">
        <f t="shared" si="191"/>
        <v>0.123</v>
      </c>
      <c r="F179" s="277">
        <f t="shared" si="191"/>
        <v>0.123</v>
      </c>
      <c r="G179" s="277">
        <f t="shared" si="191"/>
        <v>0.123</v>
      </c>
      <c r="H179" s="277">
        <f t="shared" si="191"/>
        <v>0.123</v>
      </c>
      <c r="R179" s="263"/>
      <c r="Z179" s="263"/>
    </row>
    <row r="180" spans="1:26" ht="26.1" customHeight="1">
      <c r="A180" s="276" t="s">
        <v>195</v>
      </c>
      <c r="B180" s="277">
        <f>B94</f>
        <v>0.69</v>
      </c>
      <c r="C180" s="277">
        <f t="shared" si="191"/>
        <v>1.18</v>
      </c>
      <c r="D180" s="277">
        <f t="shared" si="191"/>
        <v>1.41</v>
      </c>
      <c r="E180" s="277">
        <f t="shared" si="191"/>
        <v>1.66</v>
      </c>
      <c r="F180" s="277">
        <f t="shared" si="191"/>
        <v>1.66</v>
      </c>
      <c r="G180" s="277">
        <f t="shared" si="191"/>
        <v>1.74</v>
      </c>
      <c r="H180" s="277">
        <f t="shared" si="191"/>
        <v>1.74</v>
      </c>
      <c r="R180" s="263"/>
      <c r="Z180" s="263"/>
    </row>
    <row r="181" spans="1:26" ht="26.1" customHeight="1">
      <c r="A181" s="276" t="s">
        <v>196</v>
      </c>
      <c r="B181" s="277">
        <f>B95</f>
        <v>0.27</v>
      </c>
      <c r="C181" s="277">
        <f t="shared" si="191"/>
        <v>0.47</v>
      </c>
      <c r="D181" s="277">
        <f t="shared" si="191"/>
        <v>0.73</v>
      </c>
      <c r="E181" s="277">
        <f t="shared" si="191"/>
        <v>0.9</v>
      </c>
      <c r="F181" s="277">
        <f t="shared" si="191"/>
        <v>0.93</v>
      </c>
      <c r="G181" s="277">
        <f t="shared" si="191"/>
        <v>1.1000000000000001</v>
      </c>
      <c r="H181" s="277">
        <f t="shared" si="191"/>
        <v>1.2</v>
      </c>
      <c r="R181" s="263"/>
      <c r="Z181" s="263"/>
    </row>
    <row r="182" spans="1:26" ht="26.1" customHeight="1">
      <c r="A182" s="276" t="s">
        <v>198</v>
      </c>
      <c r="B182" s="277">
        <f>B156</f>
        <v>1.3</v>
      </c>
      <c r="C182" s="277">
        <f t="shared" ref="C182:H182" si="192">C156</f>
        <v>1.3</v>
      </c>
      <c r="D182" s="277">
        <f t="shared" si="192"/>
        <v>1.3</v>
      </c>
      <c r="E182" s="277">
        <f t="shared" si="192"/>
        <v>1.3</v>
      </c>
      <c r="F182" s="277">
        <f t="shared" si="192"/>
        <v>1.3</v>
      </c>
      <c r="G182" s="277">
        <f t="shared" si="192"/>
        <v>1.3</v>
      </c>
      <c r="H182" s="277">
        <f t="shared" si="192"/>
        <v>1.3</v>
      </c>
      <c r="R182" s="263"/>
      <c r="Z182" s="263"/>
    </row>
    <row r="183" spans="1:26" ht="26.1" customHeight="1">
      <c r="A183" s="278" t="s">
        <v>204</v>
      </c>
      <c r="B183" s="277">
        <f t="shared" ref="B183:C183" si="193">B179*B180*B182</f>
        <v>0.27806999999999998</v>
      </c>
      <c r="C183" s="277">
        <f t="shared" si="193"/>
        <v>0.18868199999999999</v>
      </c>
      <c r="D183" s="277">
        <f t="shared" ref="D183:E183" si="194">D179*D180*D182</f>
        <v>0.22545899999999999</v>
      </c>
      <c r="E183" s="277">
        <f t="shared" si="194"/>
        <v>0.265434</v>
      </c>
      <c r="F183" s="277">
        <f t="shared" ref="F183:H183" si="195">F179*F180*F182</f>
        <v>0.265434</v>
      </c>
      <c r="G183" s="277">
        <f t="shared" si="195"/>
        <v>0.27822599999999997</v>
      </c>
      <c r="H183" s="277">
        <f t="shared" si="195"/>
        <v>0.27822599999999997</v>
      </c>
      <c r="R183" s="263"/>
      <c r="Z183" s="263"/>
    </row>
    <row r="184" spans="1:26" ht="26.1" customHeight="1">
      <c r="A184" s="279" t="s">
        <v>205</v>
      </c>
      <c r="B184" s="277">
        <f>B179*B181*B182</f>
        <v>0.10881</v>
      </c>
      <c r="C184" s="277">
        <f>C179*C181*C182</f>
        <v>7.5152999999999998E-2</v>
      </c>
      <c r="D184" s="277">
        <f t="shared" ref="D184:H184" si="196">D179*D181*D182</f>
        <v>0.116727</v>
      </c>
      <c r="E184" s="277">
        <f t="shared" si="196"/>
        <v>0.14391000000000001</v>
      </c>
      <c r="F184" s="277">
        <f t="shared" si="196"/>
        <v>0.14870700000000001</v>
      </c>
      <c r="G184" s="277">
        <f t="shared" si="196"/>
        <v>0.17588999999999999</v>
      </c>
      <c r="H184" s="277">
        <f t="shared" si="196"/>
        <v>0.19188</v>
      </c>
      <c r="R184" s="263"/>
      <c r="Z184" s="263"/>
    </row>
    <row r="185" spans="1:26" ht="26.1" customHeight="1">
      <c r="A185" s="279" t="s">
        <v>206</v>
      </c>
      <c r="B185" s="277">
        <f>B100</f>
        <v>1.4</v>
      </c>
      <c r="C185" s="277">
        <f t="shared" ref="C185:H186" si="197">C100</f>
        <v>1.4</v>
      </c>
      <c r="D185" s="277">
        <f t="shared" si="197"/>
        <v>1.4</v>
      </c>
      <c r="E185" s="277">
        <f t="shared" si="197"/>
        <v>1.4</v>
      </c>
      <c r="F185" s="277">
        <f t="shared" si="197"/>
        <v>1.4</v>
      </c>
      <c r="G185" s="277">
        <f t="shared" si="197"/>
        <v>1.4</v>
      </c>
      <c r="H185" s="277">
        <f t="shared" si="197"/>
        <v>1.4</v>
      </c>
      <c r="R185" s="263"/>
      <c r="Z185" s="263"/>
    </row>
    <row r="186" spans="1:26" ht="26.1" customHeight="1">
      <c r="A186" s="279" t="s">
        <v>207</v>
      </c>
      <c r="B186" s="277">
        <f>B101</f>
        <v>1</v>
      </c>
      <c r="C186" s="277">
        <f t="shared" si="197"/>
        <v>1</v>
      </c>
      <c r="D186" s="277">
        <f t="shared" si="197"/>
        <v>1</v>
      </c>
      <c r="E186" s="277">
        <f t="shared" si="197"/>
        <v>1</v>
      </c>
      <c r="F186" s="277">
        <f t="shared" si="197"/>
        <v>1</v>
      </c>
      <c r="G186" s="277">
        <f t="shared" si="197"/>
        <v>1</v>
      </c>
      <c r="H186" s="277">
        <f t="shared" si="197"/>
        <v>1</v>
      </c>
      <c r="R186" s="263"/>
      <c r="Z186" s="263"/>
    </row>
    <row r="187" spans="1:26" ht="26.1" customHeight="1">
      <c r="A187" s="279" t="s">
        <v>282</v>
      </c>
      <c r="B187" s="277">
        <f>ROUND(B185*B183*$B$10/2,4)</f>
        <v>0.99509999999999998</v>
      </c>
      <c r="C187" s="277">
        <f t="shared" ref="C187:E187" si="198">ROUND(C185*C183*$B$10/2,4)</f>
        <v>0.67520000000000002</v>
      </c>
      <c r="D187" s="277">
        <f t="shared" si="198"/>
        <v>0.80679999999999996</v>
      </c>
      <c r="E187" s="277">
        <f t="shared" si="198"/>
        <v>0.94979999999999998</v>
      </c>
      <c r="F187" s="277">
        <f t="shared" ref="F187:H187" si="199">ROUND(F185*F183*$B$10/2,4)</f>
        <v>0.94979999999999998</v>
      </c>
      <c r="G187" s="277">
        <f t="shared" si="199"/>
        <v>0.99560000000000004</v>
      </c>
      <c r="H187" s="277">
        <f t="shared" si="199"/>
        <v>0.99560000000000004</v>
      </c>
      <c r="R187" s="263"/>
      <c r="Z187" s="263"/>
    </row>
    <row r="188" spans="1:26" ht="26.1" customHeight="1">
      <c r="A188" s="279" t="s">
        <v>283</v>
      </c>
      <c r="B188" s="277">
        <f>ROUND(B185*B184*$B$10/2,4)</f>
        <v>0.38940000000000002</v>
      </c>
      <c r="C188" s="277">
        <f t="shared" ref="C188:H188" si="200">ROUND(C185*C184*$B$10/2,4)</f>
        <v>0.26889999999999997</v>
      </c>
      <c r="D188" s="277">
        <f t="shared" si="200"/>
        <v>0.41770000000000002</v>
      </c>
      <c r="E188" s="277">
        <f t="shared" si="200"/>
        <v>0.51500000000000001</v>
      </c>
      <c r="F188" s="277">
        <f t="shared" si="200"/>
        <v>0.53210000000000002</v>
      </c>
      <c r="G188" s="277">
        <f t="shared" si="200"/>
        <v>0.62939999999999996</v>
      </c>
      <c r="H188" s="277">
        <f t="shared" si="200"/>
        <v>0.68659999999999999</v>
      </c>
      <c r="R188" s="263"/>
      <c r="Z188" s="263"/>
    </row>
    <row r="189" spans="1:26" ht="26.1" customHeight="1">
      <c r="A189" s="279" t="s">
        <v>284</v>
      </c>
      <c r="B189" s="277">
        <f>ROUND(B187/(0.5*$B$144),4)</f>
        <v>0.44109999999999999</v>
      </c>
      <c r="C189" s="277">
        <f t="shared" ref="C189:H190" si="201">ROUND(C187/(0.5*$B$144),4)</f>
        <v>0.29930000000000001</v>
      </c>
      <c r="D189" s="277">
        <f t="shared" si="201"/>
        <v>0.35759999999999997</v>
      </c>
      <c r="E189" s="277">
        <f t="shared" si="201"/>
        <v>0.42099999999999999</v>
      </c>
      <c r="F189" s="277">
        <f t="shared" si="201"/>
        <v>0.42099999999999999</v>
      </c>
      <c r="G189" s="277">
        <f t="shared" si="201"/>
        <v>0.44130000000000003</v>
      </c>
      <c r="H189" s="277">
        <f t="shared" si="201"/>
        <v>0.44130000000000003</v>
      </c>
      <c r="R189" s="263"/>
      <c r="Z189" s="263"/>
    </row>
    <row r="190" spans="1:26" ht="26.1" customHeight="1">
      <c r="A190" s="279" t="s">
        <v>285</v>
      </c>
      <c r="B190" s="277">
        <f>ROUND(B188/(0.5*$B$144),4)</f>
        <v>0.1726</v>
      </c>
      <c r="C190" s="277">
        <f t="shared" si="201"/>
        <v>0.1192</v>
      </c>
      <c r="D190" s="277">
        <f t="shared" si="201"/>
        <v>0.1852</v>
      </c>
      <c r="E190" s="277">
        <f t="shared" si="201"/>
        <v>0.2283</v>
      </c>
      <c r="F190" s="277">
        <f t="shared" si="201"/>
        <v>0.2359</v>
      </c>
      <c r="G190" s="277">
        <f t="shared" si="201"/>
        <v>0.27900000000000003</v>
      </c>
      <c r="H190" s="277">
        <f t="shared" si="201"/>
        <v>0.30430000000000001</v>
      </c>
      <c r="R190" s="263"/>
      <c r="Z190" s="263"/>
    </row>
    <row r="191" spans="1:26" ht="26.1" customHeight="1">
      <c r="A191" s="279" t="s">
        <v>286</v>
      </c>
      <c r="B191" s="277">
        <f t="shared" ref="B191:H191" si="202">ROUND(B186*$B$7/100*COS(RADIANS(B177))/$B$144,4)</f>
        <v>0.14130000000000001</v>
      </c>
      <c r="C191" s="277">
        <f t="shared" si="202"/>
        <v>0.13969999999999999</v>
      </c>
      <c r="D191" s="277">
        <f t="shared" si="202"/>
        <v>0.1333</v>
      </c>
      <c r="E191" s="277">
        <f t="shared" si="202"/>
        <v>0.12280000000000001</v>
      </c>
      <c r="F191" s="277">
        <f t="shared" si="202"/>
        <v>0.1162</v>
      </c>
      <c r="G191" s="277">
        <f t="shared" si="202"/>
        <v>0.1087</v>
      </c>
      <c r="H191" s="277">
        <f t="shared" si="202"/>
        <v>0.1003</v>
      </c>
      <c r="R191" s="263"/>
      <c r="Z191" s="263"/>
    </row>
    <row r="192" spans="1:26" ht="26.1" customHeight="1">
      <c r="A192" s="295" t="s">
        <v>297</v>
      </c>
      <c r="B192" s="296">
        <f>ABS(B189-B191)</f>
        <v>0.29980000000000001</v>
      </c>
      <c r="C192" s="296">
        <f t="shared" ref="C192:H192" si="203">ABS(C189-C191)</f>
        <v>0.15959999999999999</v>
      </c>
      <c r="D192" s="296">
        <f t="shared" si="203"/>
        <v>0.2243</v>
      </c>
      <c r="E192" s="296">
        <f t="shared" si="203"/>
        <v>0.29820000000000002</v>
      </c>
      <c r="F192" s="296">
        <f t="shared" si="203"/>
        <v>0.30480000000000002</v>
      </c>
      <c r="G192" s="296">
        <f t="shared" si="203"/>
        <v>0.33260000000000001</v>
      </c>
      <c r="H192" s="296">
        <f t="shared" si="203"/>
        <v>0.34100000000000003</v>
      </c>
      <c r="R192" s="263"/>
      <c r="Z192" s="263"/>
    </row>
    <row r="193" spans="1:26" ht="26.1" customHeight="1">
      <c r="A193" s="296" t="s">
        <v>298</v>
      </c>
      <c r="B193" s="296">
        <f>ABS(B190-B191)</f>
        <v>3.1300000000000001E-2</v>
      </c>
      <c r="C193" s="296">
        <f t="shared" ref="C193:H193" si="204">ABS(C190-C191)</f>
        <v>2.0500000000000001E-2</v>
      </c>
      <c r="D193" s="296">
        <f t="shared" si="204"/>
        <v>5.1900000000000002E-2</v>
      </c>
      <c r="E193" s="296">
        <f t="shared" si="204"/>
        <v>0.1055</v>
      </c>
      <c r="F193" s="296">
        <f t="shared" si="204"/>
        <v>0.1197</v>
      </c>
      <c r="G193" s="296">
        <f t="shared" si="204"/>
        <v>0.17030000000000001</v>
      </c>
      <c r="H193" s="296">
        <f t="shared" si="204"/>
        <v>0.20399999999999999</v>
      </c>
      <c r="R193" s="263"/>
      <c r="Z193" s="263"/>
    </row>
    <row r="194" spans="1:26" ht="26.1" customHeight="1">
      <c r="A194" s="279" t="s">
        <v>289</v>
      </c>
      <c r="B194" s="277">
        <f>ROUND((B192*$B$144/2*(0.25*$B$144+$E$142*0.5)+B193*0.5*$E$142*0.25*$E$142-B193*$E$141*$E$141*0.5)/$E$142,4)</f>
        <v>0.51970000000000005</v>
      </c>
      <c r="C194" s="277">
        <f t="shared" ref="C194:H194" si="205">ROUND((C192*$B$144/2*(0.25*$B$144+$E$142*0.5)+C193*0.5*$E$142*0.25*$E$142-C193*$E$141*$E$141*0.5)/$E$142,4)</f>
        <v>0.27889999999999998</v>
      </c>
      <c r="D194" s="277">
        <f t="shared" si="205"/>
        <v>0.40550000000000003</v>
      </c>
      <c r="E194" s="277">
        <f t="shared" si="205"/>
        <v>0.56030000000000002</v>
      </c>
      <c r="F194" s="277">
        <f t="shared" si="205"/>
        <v>0.57969999999999999</v>
      </c>
      <c r="G194" s="277">
        <f t="shared" si="205"/>
        <v>0.65569999999999995</v>
      </c>
      <c r="H194" s="277">
        <f t="shared" si="205"/>
        <v>0.68940000000000001</v>
      </c>
      <c r="R194" s="263"/>
      <c r="Z194" s="263"/>
    </row>
    <row r="195" spans="1:26" ht="26.1" customHeight="1">
      <c r="A195" s="279" t="s">
        <v>290</v>
      </c>
      <c r="B195" s="277">
        <f>ROUND((B193*$B$144*0.5*($B$144*0.25+0.5*$E$142)+B192*$E$142*0.5*0.25*$E$142-B192*$E$141*$E$141*0.5)/$E$142,4)</f>
        <v>0.22720000000000001</v>
      </c>
      <c r="C195" s="277">
        <f t="shared" ref="C195:H195" si="206">ROUND((C193*$B$144*0.5*($B$144*0.25+0.5*$E$142)+C192*$E$142*0.5*0.25*$E$142-C192*$E$141*$E$141*0.5)/$E$142,4)</f>
        <v>0.12740000000000001</v>
      </c>
      <c r="D195" s="277">
        <f t="shared" si="206"/>
        <v>0.21759999999999999</v>
      </c>
      <c r="E195" s="277">
        <f t="shared" si="206"/>
        <v>0.35039999999999999</v>
      </c>
      <c r="F195" s="277">
        <f t="shared" si="206"/>
        <v>0.378</v>
      </c>
      <c r="G195" s="277">
        <f t="shared" si="206"/>
        <v>0.47889999999999999</v>
      </c>
      <c r="H195" s="277">
        <f t="shared" si="206"/>
        <v>0.54010000000000002</v>
      </c>
      <c r="R195" s="263"/>
      <c r="Z195" s="263"/>
    </row>
    <row r="196" spans="1:26" ht="26.1" customHeight="1">
      <c r="A196" s="277" t="s">
        <v>291</v>
      </c>
      <c r="B196" s="277">
        <f t="shared" ref="B196:H197" si="207">ROUND(B194*$E$143,4)</f>
        <v>1.1745000000000001</v>
      </c>
      <c r="C196" s="277">
        <f t="shared" si="207"/>
        <v>0.63029999999999997</v>
      </c>
      <c r="D196" s="277">
        <f t="shared" si="207"/>
        <v>0.91639999999999999</v>
      </c>
      <c r="E196" s="277">
        <f t="shared" si="207"/>
        <v>1.2663</v>
      </c>
      <c r="F196" s="277">
        <f t="shared" si="207"/>
        <v>1.3101</v>
      </c>
      <c r="G196" s="277">
        <f t="shared" si="207"/>
        <v>1.4819</v>
      </c>
      <c r="H196" s="277">
        <f t="shared" si="207"/>
        <v>1.5580000000000001</v>
      </c>
      <c r="R196" s="263"/>
      <c r="Z196" s="263"/>
    </row>
    <row r="197" spans="1:26" ht="26.1" customHeight="1">
      <c r="A197" s="277" t="s">
        <v>292</v>
      </c>
      <c r="B197" s="277">
        <f>ROUND(B195*$E$143,4)</f>
        <v>0.51349999999999996</v>
      </c>
      <c r="C197" s="277">
        <f t="shared" si="207"/>
        <v>0.28789999999999999</v>
      </c>
      <c r="D197" s="277">
        <f t="shared" si="207"/>
        <v>0.49180000000000001</v>
      </c>
      <c r="E197" s="277">
        <f t="shared" si="207"/>
        <v>0.79190000000000005</v>
      </c>
      <c r="F197" s="277">
        <f t="shared" si="207"/>
        <v>0.85429999999999995</v>
      </c>
      <c r="G197" s="277">
        <f t="shared" si="207"/>
        <v>1.0823</v>
      </c>
      <c r="H197" s="277">
        <f t="shared" si="207"/>
        <v>1.2205999999999999</v>
      </c>
      <c r="R197" s="263"/>
      <c r="Z197" s="263"/>
    </row>
    <row r="198" spans="1:26" ht="26.1" customHeight="1">
      <c r="A198" s="277" t="s">
        <v>293</v>
      </c>
      <c r="B198" s="277">
        <f>ROUND(B196*1000000/$B$136,3)</f>
        <v>345.32900000000001</v>
      </c>
      <c r="C198" s="277">
        <f t="shared" ref="C198:H199" si="208">ROUND(C196*1000000/$B$136,3)</f>
        <v>185.322</v>
      </c>
      <c r="D198" s="277">
        <f t="shared" si="208"/>
        <v>269.44200000000001</v>
      </c>
      <c r="E198" s="277">
        <f t="shared" si="208"/>
        <v>372.32100000000003</v>
      </c>
      <c r="F198" s="277">
        <f t="shared" si="208"/>
        <v>385.19900000000001</v>
      </c>
      <c r="G198" s="277">
        <f t="shared" si="208"/>
        <v>435.71199999999999</v>
      </c>
      <c r="H198" s="277">
        <f t="shared" si="208"/>
        <v>458.08699999999999</v>
      </c>
      <c r="R198" s="263"/>
      <c r="Z198" s="263"/>
    </row>
    <row r="199" spans="1:26" ht="26.1" customHeight="1">
      <c r="A199" s="277" t="s">
        <v>294</v>
      </c>
      <c r="B199" s="277">
        <f>ROUND(B197*1000000/$B$136,3)</f>
        <v>150.98099999999999</v>
      </c>
      <c r="C199" s="277">
        <f t="shared" si="208"/>
        <v>84.649000000000001</v>
      </c>
      <c r="D199" s="277">
        <f t="shared" si="208"/>
        <v>144.6</v>
      </c>
      <c r="E199" s="277">
        <f t="shared" si="208"/>
        <v>232.83600000000001</v>
      </c>
      <c r="F199" s="277">
        <f t="shared" si="208"/>
        <v>251.18299999999999</v>
      </c>
      <c r="G199" s="277">
        <f t="shared" si="208"/>
        <v>318.221</v>
      </c>
      <c r="H199" s="277">
        <f t="shared" si="208"/>
        <v>358.88400000000001</v>
      </c>
      <c r="R199" s="263"/>
      <c r="Z199" s="263"/>
    </row>
    <row r="200" spans="1:26" ht="26.1" customHeight="1">
      <c r="A200" s="277" t="s">
        <v>295</v>
      </c>
      <c r="B200" s="308">
        <f>MAX(B198:B199)/$B$135</f>
        <v>1.1139645161290299</v>
      </c>
      <c r="C200" s="308">
        <f t="shared" ref="C200:H200" si="209">MAX(C198:C199)/$B$135</f>
        <v>0.59781290322580605</v>
      </c>
      <c r="D200" s="308">
        <f t="shared" si="209"/>
        <v>0.86916774193548396</v>
      </c>
      <c r="E200" s="308">
        <f t="shared" si="209"/>
        <v>1.20103548387097</v>
      </c>
      <c r="F200" s="308">
        <f t="shared" si="209"/>
        <v>1.24257741935484</v>
      </c>
      <c r="G200" s="308">
        <f t="shared" si="209"/>
        <v>1.4055225806451599</v>
      </c>
      <c r="H200" s="308">
        <f t="shared" si="209"/>
        <v>1.4777</v>
      </c>
      <c r="R200" s="263"/>
      <c r="Z200" s="263"/>
    </row>
    <row r="201" spans="1:26" ht="26.1" customHeight="1">
      <c r="B201" s="290"/>
      <c r="C201" s="290"/>
      <c r="D201" s="290"/>
      <c r="E201" s="290"/>
      <c r="F201" s="290"/>
      <c r="G201" s="290"/>
      <c r="R201" s="263"/>
      <c r="Z201" s="263"/>
    </row>
    <row r="202" spans="1:26" ht="26.1" customHeight="1">
      <c r="A202" s="310" t="s">
        <v>299</v>
      </c>
      <c r="R202" s="263"/>
      <c r="Z202" s="263"/>
    </row>
    <row r="203" spans="1:26" ht="26.1" customHeight="1">
      <c r="A203" s="310" t="s">
        <v>300</v>
      </c>
      <c r="B203" s="312" t="s">
        <v>301</v>
      </c>
      <c r="G203" s="312" t="s">
        <v>302</v>
      </c>
      <c r="R203" s="263"/>
      <c r="Z203" s="263"/>
    </row>
    <row r="204" spans="1:26" ht="26.1" customHeight="1">
      <c r="A204" s="267" t="s">
        <v>103</v>
      </c>
      <c r="B204" s="268" t="s">
        <v>110</v>
      </c>
      <c r="E204" s="392" t="s">
        <v>103</v>
      </c>
      <c r="F204" s="392"/>
      <c r="G204" s="268" t="s">
        <v>110</v>
      </c>
      <c r="R204" s="263"/>
      <c r="Z204" s="263"/>
    </row>
    <row r="205" spans="1:26" ht="26.1" customHeight="1">
      <c r="A205" s="267" t="s">
        <v>303</v>
      </c>
      <c r="B205" s="268" t="s">
        <v>304</v>
      </c>
      <c r="C205" s="271"/>
      <c r="E205" s="392" t="s">
        <v>305</v>
      </c>
      <c r="F205" s="392"/>
      <c r="G205" s="393" t="s">
        <v>306</v>
      </c>
      <c r="H205" s="393"/>
      <c r="R205" s="263"/>
      <c r="Z205" s="263"/>
    </row>
    <row r="206" spans="1:26" ht="26.1" customHeight="1">
      <c r="A206" s="267" t="s">
        <v>307</v>
      </c>
      <c r="B206" s="272" t="str">
        <f>IF(B204="钢管",VLOOKUP(B205,$J$6:$U$13,2,FALSE),IF(B204="方管",VLOOKUP(B205,$AA$6:$AP$13,2,FALSE),IF(B204="H型钢",VLOOKUP(B205,$J$18:$U$27,2,FALSE),IF(B204="多棱管",VLOOKUP(B205,$J$31:$U$32,2,FALSE),IF(B204="自定义",VLOOKUP(B205,$AA$18:$AI$27,2,FALSE),IF(B204="几型钢",VLOOKUP(B205,AA31:AP32,2,FALSE)))))))</f>
        <v>Q355B</v>
      </c>
      <c r="E206" s="392" t="s">
        <v>307</v>
      </c>
      <c r="F206" s="392"/>
      <c r="G206" s="272" t="str">
        <f>IF(G204="钢管",VLOOKUP(G205,$J$6:$U$13,2,FALSE),IF(G204="方管",VLOOKUP(G205,$AA$6:$AP$13,2,FALSE),IF(G204="H型钢",VLOOKUP(G205,$J$18:$U$27,2,FALSE),IF(G204="多棱管",VLOOKUP(G205,$J$31:$U$32,2,FALSE),IF(G204="自定义",VLOOKUP(G205,$AA$18:$AI$27,2,FALSE),IF(G204="几型钢",VLOOKUP(G205,AF31:AU32,2,FALSE)))))))</f>
        <v>Q355B</v>
      </c>
      <c r="R206" s="263"/>
      <c r="Z206" s="263"/>
    </row>
    <row r="207" spans="1:26" ht="26.1" customHeight="1">
      <c r="A207" s="267" t="s">
        <v>108</v>
      </c>
      <c r="B207" s="272">
        <f>IF(B206="Q355B",310,IF(B206="Q235B",210,IF(B206="Q420B",380)))</f>
        <v>310</v>
      </c>
      <c r="C207" s="271" t="s">
        <v>109</v>
      </c>
      <c r="E207" s="392" t="s">
        <v>108</v>
      </c>
      <c r="F207" s="392"/>
      <c r="G207" s="272">
        <f>IF(G206="Q355B",310,IF(G206="Q235B",210,IF(G206="Q420B",380)))</f>
        <v>310</v>
      </c>
      <c r="H207" s="271" t="s">
        <v>109</v>
      </c>
      <c r="R207" s="263"/>
      <c r="Z207" s="263"/>
    </row>
    <row r="208" spans="1:26" ht="26.1" customHeight="1">
      <c r="A208" s="267" t="s">
        <v>308</v>
      </c>
      <c r="B208" s="272">
        <f>IF(B204="钢管",VLOOKUP(B205,$J$6:$U$13,11,FALSE),IF(B204="方管",VLOOKUP(B205,$AA$6:$AP$13,15,FALSE),IF(B204="H型钢",VLOOKUP(B205,$J$18:$U$27,11,FALSE),IF(B204="多棱管",VLOOKUP(B205,$J$31:$U$32,11,FALSE),IF(B204="自定义",VLOOKUP(B205,$AA$18:$AI$27,6,FALSE),IF(B204="几型钢",VLOOKUP(B205,AA31:AP32,15,FALSE)))))))</f>
        <v>123108.92</v>
      </c>
      <c r="C208" s="271" t="s">
        <v>115</v>
      </c>
      <c r="E208" s="392" t="s">
        <v>308</v>
      </c>
      <c r="F208" s="392"/>
      <c r="G208" s="272">
        <f>IF(G204="钢管",VLOOKUP(G205,$J$6:$U$13,11,FALSE),IF(G204="方管",VLOOKUP(G205,$AA$6:$AP$13,15,FALSE),IF(G204="H型钢",VLOOKUP(G205,$J$18:$U$27,11,FALSE),IF(G204="多棱管",VLOOKUP(G205,$J$31:$U$32,11,FALSE),IF(G204="自定义",VLOOKUP(G205,$AA$18:$AI$27,6,FALSE),IF(G204="几型钢",VLOOKUP(G205,AF31:AU32,15,FALSE)))))))</f>
        <v>89429.18</v>
      </c>
      <c r="H208" s="271" t="s">
        <v>115</v>
      </c>
      <c r="J208" s="290"/>
      <c r="R208" s="263"/>
      <c r="Z208" s="263"/>
    </row>
    <row r="209" spans="1:26" ht="26.1" customHeight="1">
      <c r="A209" s="267" t="s">
        <v>309</v>
      </c>
      <c r="B209" s="272">
        <f>IF(B204="钢管",VLOOKUP(B205,$J$6:$U$13,12,FALSE),IF(B204="方管",VLOOKUP(B205,$AA$6:$AP$13,16,FALSE),IF(B204="H型钢",VLOOKUP(B205,$J$18:$U$27,12,FALSE),IF(B204="多棱管",VLOOKUP(B205,$J$31:$U$32,12,FALSE),IF(B204="自定义",VLOOKUP(B205,$AA$18:$AI$27,7,FALSE),IF(B204="几型钢",VLOOKUP(B205,AA31:AP32,16,FALSE)))))))</f>
        <v>17358.46</v>
      </c>
      <c r="C209" s="271" t="s">
        <v>115</v>
      </c>
      <c r="E209" s="267"/>
      <c r="F209" s="267" t="s">
        <v>309</v>
      </c>
      <c r="G209" s="272">
        <f>IF(G204="钢管",VLOOKUP(G205,$J$6:$U$13,12,FALSE),IF(G204="方管",VLOOKUP(G205,$AA$6:$AP$13,16,FALSE),IF(G204="H型钢",VLOOKUP(G205,$J$18:$U$27,12,FALSE),IF(G204="多棱管",VLOOKUP(G205,$J$31:$U$32,12,FALSE),IF(G204="自定义",VLOOKUP(G205,$AA$18:$AI$27,7,FALSE),IF(G204="几型钢",VLOOKUP(G205,AF31:AU32,16,FALSE)))))))</f>
        <v>18351.75</v>
      </c>
      <c r="H209" s="271" t="s">
        <v>115</v>
      </c>
      <c r="J209" s="290"/>
      <c r="M209"/>
      <c r="R209" s="263"/>
      <c r="Z209" s="263"/>
    </row>
    <row r="210" spans="1:26" ht="26.1" customHeight="1">
      <c r="A210" s="267" t="s">
        <v>310</v>
      </c>
      <c r="B210" s="272">
        <f>IF(B204="钢管",VLOOKUP(B205,$J$6:$U$13,9,FALSE),IF(B204="方管",VLOOKUP(B205,$AA$6:$AP$13,12,FALSE),IF(B204="H型钢",VLOOKUP(B205,$J$18:$U$27,9,FALSE),IF(B204="多棱管",VLOOKUP(B205,$J$31:$U$32,9,FALSE),IF(B204="自定义",VLOOKUP(B205,$AA$18:$AI$27,4,FALSE),IF(B204="几型钢",VLOOKUP(B205,AA31:AP32,13,FALSE)))))))</f>
        <v>12310891.8570667</v>
      </c>
      <c r="C210" s="271" t="s">
        <v>151</v>
      </c>
      <c r="E210" s="392" t="s">
        <v>310</v>
      </c>
      <c r="F210" s="392"/>
      <c r="G210" s="272">
        <f>IF(G204="钢管",VLOOKUP(G205,$J$6:$U$13,9,FALSE),IF(G204="方管",VLOOKUP(G205,$AA$6:$AP$13,12,FALSE),IF(G204="H型钢",VLOOKUP(G205,$J$18:$U$27,9,FALSE),IF(G204="多棱管",VLOOKUP(G205,$J$31:$U$32,9,FALSE),IF(G204="自定义",VLOOKUP(G205,$AA$18:$AI$27,4,FALSE),IF(G204="几型钢",VLOOKUP(G205,AF31:AU32,13,FALSE)))))))</f>
        <v>6707188.4749999996</v>
      </c>
      <c r="H210" s="271" t="s">
        <v>151</v>
      </c>
      <c r="J210" s="290"/>
      <c r="R210" s="263"/>
      <c r="Z210" s="263"/>
    </row>
    <row r="211" spans="1:26" ht="26.1" customHeight="1">
      <c r="A211" s="267" t="s">
        <v>311</v>
      </c>
      <c r="B211" s="272">
        <f>IF(B204="钢管",VLOOKUP(B205,$J$6:$U$13,10,FALSE),IF(B204="方管",VLOOKUP(B205,$AA$6:$AP$13,14,FALSE),IF(B204="H型钢",VLOOKUP(B205,$J$18:$U$27,10,FALSE),IF(B204="多棱管",VLOOKUP(B205,$J$31:$U$32,10,FALSE),IF(B204="自定义",VLOOKUP(B205,$AA$18:$AI$27,5,FALSE),IF(B204="几型钢",VLOOKUP(B205,AA31:AP32,14,FALSE)))))))</f>
        <v>867922.87726666406</v>
      </c>
      <c r="C211" s="271" t="s">
        <v>151</v>
      </c>
      <c r="E211" s="392" t="s">
        <v>311</v>
      </c>
      <c r="F211" s="392"/>
      <c r="G211" s="272">
        <f>IF(G204="钢管",VLOOKUP(G205,$J$6:$U$13,10,FALSE),IF(G204="方管",VLOOKUP(G205,$AA$6:$AP$13,14,FALSE),IF(G204="H型钢",VLOOKUP(G205,$J$18:$U$27,10,FALSE),IF(G204="多棱管",VLOOKUP(G205,$J$31:$U$32,10,FALSE),IF(G204="自定义",VLOOKUP(G205,$AA$18:$AI$27,5,FALSE),IF(G204="几型钢",VLOOKUP(G205,AF31:AU32,14,FALSE)))))))</f>
        <v>917587.62274999905</v>
      </c>
      <c r="H211" s="271" t="s">
        <v>151</v>
      </c>
      <c r="I211"/>
      <c r="J211" s="290"/>
      <c r="R211" s="263"/>
      <c r="Z211" s="263"/>
    </row>
    <row r="212" spans="1:26" ht="26.1" customHeight="1">
      <c r="A212" s="267" t="s">
        <v>153</v>
      </c>
      <c r="B212" s="293">
        <v>206000</v>
      </c>
      <c r="C212" s="271" t="s">
        <v>109</v>
      </c>
      <c r="E212" s="392" t="s">
        <v>153</v>
      </c>
      <c r="F212" s="392"/>
      <c r="G212" s="293">
        <v>206000</v>
      </c>
      <c r="H212" s="271" t="s">
        <v>109</v>
      </c>
      <c r="J212"/>
      <c r="R212" s="263"/>
      <c r="Z212" s="263"/>
    </row>
    <row r="213" spans="1:26" ht="26.1" customHeight="1">
      <c r="A213" s="267" t="s">
        <v>312</v>
      </c>
      <c r="B213" s="272">
        <f>IF(B204="钢管",VLOOKUP(B205,$J$6:$U$13,8,FALSE),IF(B204="方管",VLOOKUP(B205,$AA$6:$AP$13,12,FALSE),IF(B204="H型钢",VLOOKUP(B205,$J$18:$U$27,8,FALSE),IF(B204="多棱管",VLOOKUP(B205,$J$31:$U$32,8,FALSE),IF(B204="自定义",VLOOKUP(B205,$AA$18:$AI$27,3,FALSE),IF(B204="几型钢",VLOOKUP(B205,AA31:AP32,12,FALSE)))))))</f>
        <v>1855.28</v>
      </c>
      <c r="C213" s="271" t="s">
        <v>313</v>
      </c>
      <c r="E213" s="392" t="s">
        <v>312</v>
      </c>
      <c r="F213" s="392"/>
      <c r="G213" s="272">
        <f>IF(G204="钢管",VLOOKUP(G205,$J$6:$U$13,8,FALSE),IF(G204="方管",VLOOKUP(G205,$AA$6:$AP$13,12,FALSE),IF(G204="H型钢",VLOOKUP(G205,$J$18:$U$27,8,FALSE),IF(G204="多棱管",VLOOKUP(G205,$J$31:$U$32,8,FALSE),IF(G204="自定义",VLOOKUP(G205,$AA$18:$AI$27,3,FALSE),IF(G204="几型钢",VLOOKUP(G205,AF31:AU32,12,FALSE)))))))</f>
        <v>1697.7</v>
      </c>
      <c r="H213" s="271" t="s">
        <v>313</v>
      </c>
      <c r="R213" s="263"/>
      <c r="Z213" s="263"/>
    </row>
    <row r="214" spans="1:26" ht="26.1" customHeight="1">
      <c r="A214" s="267" t="s">
        <v>314</v>
      </c>
      <c r="B214" s="272">
        <f>(IF(B204="钢管",VLOOKUP(B205,$J$6:$U$13,7,FALSE),IF(B204="方管",VLOOKUP(B205,$AA$6:$AP$13,11,FALSE),IF(B204="H型钢",VLOOKUP(B205,$J$18:$U$27,7,FALSE),IF(B204="多棱管",VLOOKUP(B205,$J$31:$U$32,7,FALSE),IF(B204="自定义",VLOOKUP(B205,$AA$18:$AI$27,9,FALSE),IF(B204="几型钢",VLOOKUP(B205,AA31:AP32,11,FALSE)))))))*B126)</f>
        <v>0.17849999999999999</v>
      </c>
      <c r="C214" s="271" t="s">
        <v>315</v>
      </c>
      <c r="E214" s="392" t="s">
        <v>314</v>
      </c>
      <c r="F214" s="392"/>
      <c r="G214" s="272">
        <f>(IF(G204="钢管",VLOOKUP(G205,$J$6:$U$13,7,FALSE),IF(G204="方管",VLOOKUP(G205,$AA$6:$AP$13,11,FALSE),IF(G204="H型钢",VLOOKUP(G205,$J$18:$U$27,7,FALSE),IF(G204="多棱管",VLOOKUP(G205,$J$31:$U$32,7,FALSE),IF(G204="自定义",VLOOKUP(G205,$AA$18:$AI$27,9,FALSE),IF(G204="几型钢",VLOOKUP(G205,AF31:AU32,11,FALSE)))))))*G126)</f>
        <v>0.79039999999999999</v>
      </c>
      <c r="H214" s="271" t="s">
        <v>315</v>
      </c>
      <c r="N214"/>
      <c r="R214" s="263"/>
      <c r="Z214" s="263"/>
    </row>
    <row r="215" spans="1:26" ht="26.1" customHeight="1">
      <c r="A215" s="267" t="s">
        <v>316</v>
      </c>
      <c r="B215" s="268">
        <v>1</v>
      </c>
      <c r="C215" s="271" t="s">
        <v>36</v>
      </c>
      <c r="E215" s="392" t="s">
        <v>316</v>
      </c>
      <c r="F215" s="392"/>
      <c r="G215" s="272">
        <f>B215</f>
        <v>1</v>
      </c>
      <c r="H215" s="271" t="s">
        <v>36</v>
      </c>
      <c r="R215" s="263"/>
      <c r="Z215" s="263"/>
    </row>
    <row r="216" spans="1:26" ht="26.1" customHeight="1">
      <c r="A216" s="267" t="s">
        <v>317</v>
      </c>
      <c r="B216" s="272">
        <f>IF(B204="钢管",VLOOKUP(B205,$J$6:$V$13,13,FALSE),IF(B204="方管",VLOOKUP(B205,$AA$6:$AV$13,22,FALSE),IF(B204="H型钢",VLOOKUP(B205,$J$18:$V$25,13,FALSE),IF(B204="多棱管",VLOOKUP(B205,$J$31:$U$32,11,FALSE),IF(B204="自定义",VLOOKUP(B205,$AA$18:$AI$27,6,FALSE),IF(B204="几型钢",VLOOKUP(B205,AA31:AP32,15,FALSE)))))))</f>
        <v>0.1</v>
      </c>
      <c r="C216" s="271" t="s">
        <v>100</v>
      </c>
      <c r="E216" s="392" t="s">
        <v>317</v>
      </c>
      <c r="F216" s="392"/>
      <c r="G216" s="272">
        <f>IF(G204="钢管",VLOOKUP(G205,$J$6:$V$13,13,FALSE),IF(G204="方管",VLOOKUP(G205,$AA$6:$AV$13,22,FALSE),IF(G204="H型钢",VLOOKUP(G205,$J$18:$V$25,13,FALSE),IF(G204="多棱管",VLOOKUP(G205,$J$31:$U$32,11,FALSE),IF(G204="自定义",VLOOKUP(G205,$AA$18:$AI$27,6,FALSE),IF(G204="几型钢",VLOOKUP(G205,AF31:AU32,15,FALSE)))))))</f>
        <v>0.1</v>
      </c>
      <c r="H216" s="271" t="s">
        <v>100</v>
      </c>
      <c r="R216" s="263"/>
      <c r="Z216" s="263"/>
    </row>
    <row r="217" spans="1:26" ht="26.1" customHeight="1">
      <c r="A217" s="267" t="s">
        <v>318</v>
      </c>
      <c r="B217" s="270">
        <v>22</v>
      </c>
      <c r="C217" s="271"/>
      <c r="E217" s="394" t="s">
        <v>318</v>
      </c>
      <c r="F217" s="394"/>
      <c r="G217" s="272">
        <f>B217</f>
        <v>22</v>
      </c>
      <c r="H217" s="271"/>
      <c r="R217" s="263"/>
      <c r="Z217" s="263"/>
    </row>
    <row r="218" spans="1:26" ht="26.1" customHeight="1">
      <c r="A218" s="275" t="s">
        <v>189</v>
      </c>
      <c r="B218" s="277">
        <f t="shared" ref="B218:H220" si="210">B35</f>
        <v>5</v>
      </c>
      <c r="C218" s="277">
        <f t="shared" si="210"/>
        <v>10</v>
      </c>
      <c r="D218" s="277">
        <f t="shared" si="210"/>
        <v>20</v>
      </c>
      <c r="E218" s="277">
        <f t="shared" si="210"/>
        <v>30</v>
      </c>
      <c r="F218" s="277">
        <f t="shared" si="210"/>
        <v>35</v>
      </c>
      <c r="G218" s="277">
        <f t="shared" si="210"/>
        <v>40</v>
      </c>
      <c r="H218" s="277">
        <f t="shared" si="210"/>
        <v>45</v>
      </c>
      <c r="R218" s="263"/>
      <c r="Z218" s="263"/>
    </row>
    <row r="219" spans="1:26" ht="26.1" customHeight="1">
      <c r="A219" s="276" t="s">
        <v>190</v>
      </c>
      <c r="B219" s="277" t="str">
        <f t="shared" si="210"/>
        <v>抗风模式</v>
      </c>
      <c r="C219" s="277" t="str">
        <f t="shared" si="210"/>
        <v>运行模式</v>
      </c>
      <c r="D219" s="277" t="str">
        <f t="shared" si="210"/>
        <v>运行模式</v>
      </c>
      <c r="E219" s="277" t="str">
        <f t="shared" si="210"/>
        <v>运行模式</v>
      </c>
      <c r="F219" s="277" t="str">
        <f t="shared" si="210"/>
        <v>运行模式</v>
      </c>
      <c r="G219" s="277" t="str">
        <f t="shared" si="210"/>
        <v>运行模式</v>
      </c>
      <c r="H219" s="277" t="str">
        <f t="shared" si="210"/>
        <v>运行模式</v>
      </c>
      <c r="R219" s="263"/>
      <c r="Z219" s="263"/>
    </row>
    <row r="220" spans="1:26" ht="26.1" customHeight="1">
      <c r="A220" s="276" t="s">
        <v>193</v>
      </c>
      <c r="B220" s="277">
        <f t="shared" si="210"/>
        <v>22.26</v>
      </c>
      <c r="C220" s="277">
        <f t="shared" si="210"/>
        <v>14</v>
      </c>
      <c r="D220" s="277">
        <f t="shared" si="210"/>
        <v>14</v>
      </c>
      <c r="E220" s="277">
        <f t="shared" si="210"/>
        <v>14</v>
      </c>
      <c r="F220" s="277">
        <f t="shared" si="210"/>
        <v>14</v>
      </c>
      <c r="G220" s="277">
        <f t="shared" si="210"/>
        <v>14</v>
      </c>
      <c r="H220" s="277">
        <f t="shared" si="210"/>
        <v>14</v>
      </c>
      <c r="R220" s="263"/>
      <c r="Z220" s="263"/>
    </row>
    <row r="221" spans="1:26" ht="26.1" customHeight="1">
      <c r="A221" s="276" t="s">
        <v>194</v>
      </c>
      <c r="B221" s="294">
        <f t="shared" ref="B221:H221" si="211">ROUND(B220^2/1600,3)</f>
        <v>0.31</v>
      </c>
      <c r="C221" s="294">
        <f t="shared" si="211"/>
        <v>0.123</v>
      </c>
      <c r="D221" s="294">
        <f t="shared" si="211"/>
        <v>0.123</v>
      </c>
      <c r="E221" s="294">
        <f t="shared" si="211"/>
        <v>0.123</v>
      </c>
      <c r="F221" s="294">
        <f t="shared" si="211"/>
        <v>0.123</v>
      </c>
      <c r="G221" s="294">
        <f t="shared" si="211"/>
        <v>0.123</v>
      </c>
      <c r="H221" s="294">
        <f t="shared" si="211"/>
        <v>0.123</v>
      </c>
      <c r="R221" s="263"/>
      <c r="Z221" s="263"/>
    </row>
    <row r="222" spans="1:26" ht="26.1" customHeight="1">
      <c r="A222" s="276" t="s">
        <v>319</v>
      </c>
      <c r="B222" s="274">
        <v>1.3</v>
      </c>
      <c r="C222" s="274">
        <v>1.3</v>
      </c>
      <c r="D222" s="274">
        <v>1.3</v>
      </c>
      <c r="E222" s="274">
        <v>1.3</v>
      </c>
      <c r="F222" s="274">
        <v>1.3</v>
      </c>
      <c r="G222" s="274">
        <v>1.3</v>
      </c>
      <c r="H222" s="274">
        <v>1.3</v>
      </c>
      <c r="R222" s="263"/>
      <c r="Z222" s="263"/>
    </row>
    <row r="223" spans="1:26" ht="26.1" customHeight="1">
      <c r="A223" s="279" t="s">
        <v>208</v>
      </c>
      <c r="B223" s="277">
        <f>B49</f>
        <v>1.0649999999999999</v>
      </c>
      <c r="C223" s="277">
        <f t="shared" ref="C223:H223" si="212">C49</f>
        <v>0.72619999999999996</v>
      </c>
      <c r="D223" s="277">
        <f t="shared" si="212"/>
        <v>0.94189999999999996</v>
      </c>
      <c r="E223" s="277">
        <f t="shared" si="212"/>
        <v>1.1268</v>
      </c>
      <c r="F223" s="277">
        <f t="shared" si="212"/>
        <v>1.1399999999999999</v>
      </c>
      <c r="G223" s="277">
        <f t="shared" si="212"/>
        <v>1.1355999999999999</v>
      </c>
      <c r="H223" s="277">
        <f t="shared" si="212"/>
        <v>1.206</v>
      </c>
      <c r="R223" s="263"/>
      <c r="Z223" s="263"/>
    </row>
    <row r="224" spans="1:26" ht="26.1" customHeight="1">
      <c r="A224" s="279" t="s">
        <v>320</v>
      </c>
      <c r="B224" s="277">
        <f t="shared" ref="B224:H224" si="213">ROUND(B223*$B$32*SIN(RADIANS(B218)),4)</f>
        <v>0.61450000000000005</v>
      </c>
      <c r="C224" s="277">
        <f t="shared" si="213"/>
        <v>0.83479999999999999</v>
      </c>
      <c r="D224" s="277">
        <f t="shared" si="213"/>
        <v>2.1326000000000001</v>
      </c>
      <c r="E224" s="277">
        <f t="shared" si="213"/>
        <v>3.7296999999999998</v>
      </c>
      <c r="F224" s="277">
        <f t="shared" si="213"/>
        <v>4.3287000000000004</v>
      </c>
      <c r="G224" s="277">
        <f t="shared" si="213"/>
        <v>4.8323</v>
      </c>
      <c r="H224" s="277">
        <f t="shared" si="213"/>
        <v>5.6452999999999998</v>
      </c>
      <c r="R224" s="263"/>
      <c r="Z224" s="263"/>
    </row>
    <row r="225" spans="1:26" ht="26.1" customHeight="1">
      <c r="A225" s="279" t="s">
        <v>321</v>
      </c>
      <c r="B225" s="277">
        <f t="shared" ref="B225:H225" si="214">ROUND($B$216*B221*B222*1.4,4)</f>
        <v>5.6399999999999999E-2</v>
      </c>
      <c r="C225" s="277">
        <f t="shared" si="214"/>
        <v>2.24E-2</v>
      </c>
      <c r="D225" s="277">
        <f t="shared" si="214"/>
        <v>2.24E-2</v>
      </c>
      <c r="E225" s="277">
        <f t="shared" si="214"/>
        <v>2.24E-2</v>
      </c>
      <c r="F225" s="277">
        <f t="shared" si="214"/>
        <v>2.24E-2</v>
      </c>
      <c r="G225" s="277">
        <f t="shared" si="214"/>
        <v>2.24E-2</v>
      </c>
      <c r="H225" s="277">
        <f t="shared" si="214"/>
        <v>2.24E-2</v>
      </c>
      <c r="R225" s="263"/>
      <c r="Z225" s="263"/>
    </row>
    <row r="226" spans="1:26" ht="26.1" customHeight="1">
      <c r="A226" s="279" t="s">
        <v>322</v>
      </c>
      <c r="B226" s="277">
        <f t="shared" ref="B226:H226" si="215">ROUND(B45*B221*$B$10*$B$217*$B$9*B42,4)</f>
        <v>11.562200000000001</v>
      </c>
      <c r="C226" s="277">
        <f t="shared" si="215"/>
        <v>7.7552000000000003</v>
      </c>
      <c r="D226" s="277">
        <f t="shared" si="215"/>
        <v>7.4275000000000002</v>
      </c>
      <c r="E226" s="277">
        <f t="shared" si="215"/>
        <v>8.3012999999999995</v>
      </c>
      <c r="F226" s="277">
        <f t="shared" si="215"/>
        <v>7.9736000000000002</v>
      </c>
      <c r="G226" s="277">
        <f t="shared" si="215"/>
        <v>8.0829000000000004</v>
      </c>
      <c r="H226" s="277">
        <f t="shared" si="215"/>
        <v>6.3352000000000004</v>
      </c>
      <c r="R226" s="263"/>
      <c r="Z226" s="263"/>
    </row>
    <row r="227" spans="1:26" ht="26.1" customHeight="1">
      <c r="A227" s="279" t="s">
        <v>323</v>
      </c>
      <c r="B227" s="277">
        <f t="shared" ref="B227:H227" si="216">ROUND(B46*$B$217*$B$7/100*SIN(RADIANS(B218))*$B$33,4)</f>
        <v>0.22090000000000001</v>
      </c>
      <c r="C227" s="277">
        <f t="shared" si="216"/>
        <v>0.44009999999999999</v>
      </c>
      <c r="D227" s="277">
        <f t="shared" si="216"/>
        <v>0.86680000000000001</v>
      </c>
      <c r="E227" s="277">
        <f t="shared" si="216"/>
        <v>1.2672000000000001</v>
      </c>
      <c r="F227" s="277">
        <f t="shared" si="216"/>
        <v>1.4537</v>
      </c>
      <c r="G227" s="277">
        <f t="shared" si="216"/>
        <v>1.6291</v>
      </c>
      <c r="H227" s="277">
        <f t="shared" si="216"/>
        <v>1.7921</v>
      </c>
      <c r="R227" s="263"/>
      <c r="Z227" s="263"/>
    </row>
    <row r="228" spans="1:26" ht="26.1" customHeight="1">
      <c r="A228" s="279" t="s">
        <v>324</v>
      </c>
      <c r="B228" s="277">
        <f t="shared" ref="B228:H228" si="217">ROUND(B46*$B$142*$B$141*($B$217+2)*SIN(RADIANS(B218))*$B$33,4)</f>
        <v>3.5200000000000002E-2</v>
      </c>
      <c r="C228" s="277">
        <f t="shared" si="217"/>
        <v>7.0099999999999996E-2</v>
      </c>
      <c r="D228" s="277">
        <f t="shared" si="217"/>
        <v>0.1381</v>
      </c>
      <c r="E228" s="277">
        <f t="shared" si="217"/>
        <v>0.20180000000000001</v>
      </c>
      <c r="F228" s="277">
        <f t="shared" si="217"/>
        <v>0.23150000000000001</v>
      </c>
      <c r="G228" s="277">
        <f t="shared" si="217"/>
        <v>0.25950000000000001</v>
      </c>
      <c r="H228" s="277">
        <f t="shared" si="217"/>
        <v>0.28539999999999999</v>
      </c>
      <c r="R228" s="263"/>
      <c r="Z228" s="263"/>
    </row>
    <row r="229" spans="1:26" ht="26.1" customHeight="1">
      <c r="A229" s="279" t="s">
        <v>325</v>
      </c>
      <c r="B229" s="277">
        <f>B226+B227+B228</f>
        <v>11.818300000000001</v>
      </c>
      <c r="C229" s="277">
        <f t="shared" ref="C229:H229" si="218">C226+C227+C228</f>
        <v>8.2653999999999996</v>
      </c>
      <c r="D229" s="277">
        <f t="shared" si="218"/>
        <v>8.4323999999999995</v>
      </c>
      <c r="E229" s="277">
        <f t="shared" si="218"/>
        <v>9.7703000000000007</v>
      </c>
      <c r="F229" s="277">
        <f t="shared" si="218"/>
        <v>9.6587999999999994</v>
      </c>
      <c r="G229" s="277">
        <f t="shared" si="218"/>
        <v>9.9715000000000007</v>
      </c>
      <c r="H229" s="277">
        <f t="shared" si="218"/>
        <v>8.4126999999999992</v>
      </c>
      <c r="R229" s="263"/>
      <c r="Z229" s="263"/>
    </row>
    <row r="230" spans="1:26" ht="26.1" customHeight="1">
      <c r="A230" s="279" t="s">
        <v>326</v>
      </c>
      <c r="B230" s="277">
        <f>ROUND(B224*$B$215+B225*$B$215*0.5,4)</f>
        <v>0.64270000000000005</v>
      </c>
      <c r="C230" s="277">
        <f t="shared" ref="C230:H230" si="219">ROUND(C224*$B$215+C225*$B$215*0.5,4)</f>
        <v>0.84599999999999997</v>
      </c>
      <c r="D230" s="277">
        <f t="shared" si="219"/>
        <v>2.1438000000000001</v>
      </c>
      <c r="E230" s="277">
        <f t="shared" si="219"/>
        <v>3.7408999999999999</v>
      </c>
      <c r="F230" s="277">
        <f t="shared" si="219"/>
        <v>4.3399000000000001</v>
      </c>
      <c r="G230" s="277">
        <f t="shared" si="219"/>
        <v>4.8434999999999997</v>
      </c>
      <c r="H230" s="277">
        <f t="shared" si="219"/>
        <v>5.6565000000000003</v>
      </c>
      <c r="R230" s="263"/>
      <c r="Z230" s="263"/>
    </row>
    <row r="231" spans="1:26" ht="26.1" customHeight="1">
      <c r="A231" s="279" t="s">
        <v>327</v>
      </c>
      <c r="B231" s="277">
        <f>ROUND(B224*$B$215+B225*$B$215*0.5+B229,4)</f>
        <v>12.461</v>
      </c>
      <c r="C231" s="277">
        <f t="shared" ref="C231:H231" si="220">ROUND(C224*$B$215+C225*$B$215*0.5+C229,4)</f>
        <v>9.1113999999999997</v>
      </c>
      <c r="D231" s="277">
        <f t="shared" si="220"/>
        <v>10.5762</v>
      </c>
      <c r="E231" s="277">
        <f t="shared" si="220"/>
        <v>13.511200000000001</v>
      </c>
      <c r="F231" s="277">
        <f t="shared" si="220"/>
        <v>13.998699999999999</v>
      </c>
      <c r="G231" s="277">
        <f t="shared" si="220"/>
        <v>14.815</v>
      </c>
      <c r="H231" s="277">
        <f t="shared" si="220"/>
        <v>14.0692</v>
      </c>
      <c r="R231" s="263"/>
      <c r="Z231" s="263"/>
    </row>
    <row r="232" spans="1:26" ht="26.1" customHeight="1">
      <c r="A232" s="279" t="s">
        <v>328</v>
      </c>
      <c r="B232" s="277">
        <f t="shared" ref="B232:H232" si="221">ROUND(B223*SIN(RADIANS(B218))+B224,4)</f>
        <v>0.70730000000000004</v>
      </c>
      <c r="C232" s="277">
        <f t="shared" si="221"/>
        <v>0.96089999999999998</v>
      </c>
      <c r="D232" s="277">
        <f t="shared" si="221"/>
        <v>2.4546999999999999</v>
      </c>
      <c r="E232" s="277">
        <f t="shared" si="221"/>
        <v>4.2930999999999999</v>
      </c>
      <c r="F232" s="277">
        <f t="shared" si="221"/>
        <v>4.9825999999999997</v>
      </c>
      <c r="G232" s="277">
        <f t="shared" si="221"/>
        <v>5.5621999999999998</v>
      </c>
      <c r="H232" s="277">
        <f t="shared" si="221"/>
        <v>6.4981</v>
      </c>
      <c r="R232" s="263"/>
      <c r="Z232" s="263"/>
    </row>
    <row r="233" spans="1:26" ht="26.1" customHeight="1">
      <c r="A233" s="276" t="s">
        <v>329</v>
      </c>
      <c r="B233" s="277">
        <f>ROUND(B230*1000000/$G$208,3)</f>
        <v>7.1870000000000003</v>
      </c>
      <c r="C233" s="277">
        <f t="shared" ref="C233:H233" si="222">ROUND(C230*1000000/$G$208,3)</f>
        <v>9.4600000000000009</v>
      </c>
      <c r="D233" s="277">
        <f t="shared" si="222"/>
        <v>23.972000000000001</v>
      </c>
      <c r="E233" s="277">
        <f t="shared" si="222"/>
        <v>41.831000000000003</v>
      </c>
      <c r="F233" s="277">
        <f t="shared" si="222"/>
        <v>48.529000000000003</v>
      </c>
      <c r="G233" s="277">
        <f t="shared" si="222"/>
        <v>54.16</v>
      </c>
      <c r="H233" s="277">
        <f t="shared" si="222"/>
        <v>63.250999999999998</v>
      </c>
      <c r="R233" s="263"/>
      <c r="Z233" s="263"/>
    </row>
    <row r="234" spans="1:26" ht="26.1" customHeight="1">
      <c r="A234" s="276" t="s">
        <v>330</v>
      </c>
      <c r="B234" s="277">
        <f>ROUND(B231*1000000/$B$208,3)</f>
        <v>101.21899999999999</v>
      </c>
      <c r="C234" s="277">
        <f t="shared" ref="C234:H234" si="223">ROUND(C231*1000000/$B$208,3)</f>
        <v>74.010999999999996</v>
      </c>
      <c r="D234" s="277">
        <f t="shared" si="223"/>
        <v>85.909000000000006</v>
      </c>
      <c r="E234" s="277">
        <f t="shared" si="223"/>
        <v>109.75</v>
      </c>
      <c r="F234" s="277">
        <f t="shared" si="223"/>
        <v>113.71</v>
      </c>
      <c r="G234" s="277">
        <f t="shared" si="223"/>
        <v>120.34099999999999</v>
      </c>
      <c r="H234" s="277">
        <f t="shared" si="223"/>
        <v>114.283</v>
      </c>
      <c r="R234" s="263"/>
      <c r="Z234" s="263"/>
    </row>
    <row r="235" spans="1:26" ht="26.1" customHeight="1">
      <c r="A235" s="278" t="s">
        <v>331</v>
      </c>
      <c r="B235" s="308">
        <f>B233/$B$207</f>
        <v>2.3183870967741899E-2</v>
      </c>
      <c r="C235" s="308">
        <f t="shared" ref="C235:H236" si="224">C233/$B$207</f>
        <v>3.0516129032258098E-2</v>
      </c>
      <c r="D235" s="308">
        <f t="shared" si="224"/>
        <v>7.7329032258064506E-2</v>
      </c>
      <c r="E235" s="308">
        <f t="shared" si="224"/>
        <v>0.134938709677419</v>
      </c>
      <c r="F235" s="308">
        <f t="shared" si="224"/>
        <v>0.156545161290323</v>
      </c>
      <c r="G235" s="308">
        <f t="shared" si="224"/>
        <v>0.174709677419355</v>
      </c>
      <c r="H235" s="308">
        <f t="shared" si="224"/>
        <v>0.20403548387096801</v>
      </c>
      <c r="R235" s="263"/>
      <c r="Z235" s="263"/>
    </row>
    <row r="236" spans="1:26" ht="26.1" customHeight="1">
      <c r="A236" s="278" t="s">
        <v>332</v>
      </c>
      <c r="B236" s="308">
        <f>B234/$B$207</f>
        <v>0.32651290322580601</v>
      </c>
      <c r="C236" s="308">
        <f t="shared" si="224"/>
        <v>0.238745161290323</v>
      </c>
      <c r="D236" s="308">
        <f t="shared" si="224"/>
        <v>0.277125806451613</v>
      </c>
      <c r="E236" s="308">
        <f t="shared" si="224"/>
        <v>0.35403225806451599</v>
      </c>
      <c r="F236" s="308">
        <f t="shared" si="224"/>
        <v>0.36680645161290298</v>
      </c>
      <c r="G236" s="308">
        <f t="shared" si="224"/>
        <v>0.38819677419354798</v>
      </c>
      <c r="H236" s="308">
        <f t="shared" si="224"/>
        <v>0.36865483870967702</v>
      </c>
      <c r="R236" s="263"/>
      <c r="Z236" s="263"/>
    </row>
    <row r="237" spans="1:26" ht="26.1" customHeight="1">
      <c r="A237" s="310" t="s">
        <v>333</v>
      </c>
      <c r="R237" s="263"/>
      <c r="Z237" s="263"/>
    </row>
    <row r="238" spans="1:26" ht="26.1" customHeight="1">
      <c r="A238" s="275" t="s">
        <v>189</v>
      </c>
      <c r="B238" s="277">
        <f>B218</f>
        <v>5</v>
      </c>
      <c r="C238" s="277">
        <f t="shared" ref="C238:H240" si="225">C218</f>
        <v>10</v>
      </c>
      <c r="D238" s="277">
        <f t="shared" si="225"/>
        <v>20</v>
      </c>
      <c r="E238" s="277">
        <f t="shared" si="225"/>
        <v>30</v>
      </c>
      <c r="F238" s="277">
        <f t="shared" si="225"/>
        <v>35</v>
      </c>
      <c r="G238" s="277">
        <f t="shared" si="225"/>
        <v>40</v>
      </c>
      <c r="H238" s="277">
        <f t="shared" si="225"/>
        <v>45</v>
      </c>
      <c r="R238" s="263"/>
      <c r="Z238" s="263"/>
    </row>
    <row r="239" spans="1:26" ht="26.1" customHeight="1">
      <c r="A239" s="276" t="s">
        <v>190</v>
      </c>
      <c r="B239" s="277" t="str">
        <f>B219</f>
        <v>抗风模式</v>
      </c>
      <c r="C239" s="277" t="str">
        <f t="shared" si="225"/>
        <v>运行模式</v>
      </c>
      <c r="D239" s="277" t="str">
        <f t="shared" si="225"/>
        <v>运行模式</v>
      </c>
      <c r="E239" s="277" t="str">
        <f t="shared" si="225"/>
        <v>运行模式</v>
      </c>
      <c r="F239" s="277" t="str">
        <f t="shared" si="225"/>
        <v>运行模式</v>
      </c>
      <c r="G239" s="277" t="str">
        <f t="shared" si="225"/>
        <v>运行模式</v>
      </c>
      <c r="H239" s="277" t="str">
        <f t="shared" si="225"/>
        <v>运行模式</v>
      </c>
      <c r="R239" s="263"/>
      <c r="Z239" s="263"/>
    </row>
    <row r="240" spans="1:26" ht="26.1" customHeight="1">
      <c r="A240" s="276" t="s">
        <v>193</v>
      </c>
      <c r="B240" s="277">
        <f>B220</f>
        <v>22.26</v>
      </c>
      <c r="C240" s="277">
        <f t="shared" si="225"/>
        <v>14</v>
      </c>
      <c r="D240" s="277">
        <f t="shared" si="225"/>
        <v>14</v>
      </c>
      <c r="E240" s="277">
        <f t="shared" si="225"/>
        <v>14</v>
      </c>
      <c r="F240" s="277">
        <f t="shared" si="225"/>
        <v>14</v>
      </c>
      <c r="G240" s="277">
        <f t="shared" si="225"/>
        <v>14</v>
      </c>
      <c r="H240" s="277">
        <f t="shared" si="225"/>
        <v>14</v>
      </c>
      <c r="R240" s="263"/>
      <c r="Z240" s="263"/>
    </row>
    <row r="241" spans="1:26" ht="26.1" customHeight="1">
      <c r="A241" s="276" t="s">
        <v>194</v>
      </c>
      <c r="B241" s="294">
        <f t="shared" ref="B241:H241" si="226">ROUND(B240^2/1600,3)</f>
        <v>0.31</v>
      </c>
      <c r="C241" s="294">
        <f t="shared" si="226"/>
        <v>0.123</v>
      </c>
      <c r="D241" s="294">
        <f t="shared" si="226"/>
        <v>0.123</v>
      </c>
      <c r="E241" s="294">
        <f t="shared" si="226"/>
        <v>0.123</v>
      </c>
      <c r="F241" s="294">
        <f t="shared" si="226"/>
        <v>0.123</v>
      </c>
      <c r="G241" s="294">
        <f t="shared" si="226"/>
        <v>0.123</v>
      </c>
      <c r="H241" s="294">
        <f t="shared" si="226"/>
        <v>0.123</v>
      </c>
      <c r="R241" s="263"/>
      <c r="Z241" s="263"/>
    </row>
    <row r="242" spans="1:26" ht="26.1" customHeight="1">
      <c r="A242" s="276" t="s">
        <v>319</v>
      </c>
      <c r="B242" s="274">
        <v>1.3</v>
      </c>
      <c r="C242" s="274">
        <v>1.3</v>
      </c>
      <c r="D242" s="274">
        <v>1.3</v>
      </c>
      <c r="E242" s="274">
        <v>1.3</v>
      </c>
      <c r="F242" s="274">
        <v>1.3</v>
      </c>
      <c r="G242" s="274">
        <v>1.3</v>
      </c>
      <c r="H242" s="274">
        <v>1.3</v>
      </c>
      <c r="R242" s="263"/>
      <c r="Z242" s="263"/>
    </row>
    <row r="243" spans="1:26" ht="26.1" customHeight="1">
      <c r="A243" s="279" t="s">
        <v>208</v>
      </c>
      <c r="B243" s="277">
        <f>B102</f>
        <v>1.0649999999999999</v>
      </c>
      <c r="C243" s="277">
        <f t="shared" ref="C243:H243" si="227">C102</f>
        <v>0.72619999999999996</v>
      </c>
      <c r="D243" s="277">
        <f t="shared" si="227"/>
        <v>0.94189999999999996</v>
      </c>
      <c r="E243" s="277">
        <f t="shared" si="227"/>
        <v>1.1268</v>
      </c>
      <c r="F243" s="277">
        <f t="shared" si="227"/>
        <v>1.1399999999999999</v>
      </c>
      <c r="G243" s="277">
        <f t="shared" si="227"/>
        <v>1.25</v>
      </c>
      <c r="H243" s="277">
        <f t="shared" si="227"/>
        <v>1.294</v>
      </c>
      <c r="R243" s="263"/>
      <c r="Z243" s="263"/>
    </row>
    <row r="244" spans="1:26" ht="26.1" customHeight="1">
      <c r="A244" s="279" t="s">
        <v>320</v>
      </c>
      <c r="B244" s="277">
        <f t="shared" ref="B244:H244" si="228">ROUND(B243*$B$32*SIN(RADIANS(B238)),4)</f>
        <v>0.61450000000000005</v>
      </c>
      <c r="C244" s="277">
        <f t="shared" si="228"/>
        <v>0.83479999999999999</v>
      </c>
      <c r="D244" s="277">
        <f t="shared" si="228"/>
        <v>2.1326000000000001</v>
      </c>
      <c r="E244" s="277">
        <f t="shared" si="228"/>
        <v>3.7296999999999998</v>
      </c>
      <c r="F244" s="277">
        <f t="shared" si="228"/>
        <v>4.3287000000000004</v>
      </c>
      <c r="G244" s="277">
        <f t="shared" si="228"/>
        <v>5.3190999999999997</v>
      </c>
      <c r="H244" s="277">
        <f t="shared" si="228"/>
        <v>6.0572999999999997</v>
      </c>
      <c r="R244" s="263"/>
      <c r="Z244" s="263"/>
    </row>
    <row r="245" spans="1:26" ht="26.1" customHeight="1">
      <c r="A245" s="279" t="s">
        <v>334</v>
      </c>
      <c r="B245" s="277">
        <f t="shared" ref="B245:H245" si="229">ROUND($B$216*B241*B242*B100,4)</f>
        <v>5.6399999999999999E-2</v>
      </c>
      <c r="C245" s="277">
        <f t="shared" si="229"/>
        <v>2.24E-2</v>
      </c>
      <c r="D245" s="277">
        <f t="shared" si="229"/>
        <v>2.24E-2</v>
      </c>
      <c r="E245" s="277">
        <f t="shared" si="229"/>
        <v>2.24E-2</v>
      </c>
      <c r="F245" s="277">
        <f t="shared" si="229"/>
        <v>2.24E-2</v>
      </c>
      <c r="G245" s="277">
        <f t="shared" si="229"/>
        <v>2.24E-2</v>
      </c>
      <c r="H245" s="277">
        <f t="shared" si="229"/>
        <v>2.24E-2</v>
      </c>
      <c r="R245" s="263"/>
      <c r="Z245" s="263"/>
    </row>
    <row r="246" spans="1:26" ht="26.1" customHeight="1">
      <c r="A246" s="279" t="s">
        <v>335</v>
      </c>
      <c r="B246" s="277">
        <f t="shared" ref="B246:H246" si="230">ROUND(B100*B97*$B$10*$B$217*$B$9*B241,4)</f>
        <v>11.562200000000001</v>
      </c>
      <c r="C246" s="277">
        <f t="shared" si="230"/>
        <v>7.7552000000000003</v>
      </c>
      <c r="D246" s="277">
        <f t="shared" si="230"/>
        <v>7.4275000000000002</v>
      </c>
      <c r="E246" s="277">
        <f t="shared" si="230"/>
        <v>8.3012999999999995</v>
      </c>
      <c r="F246" s="277">
        <f t="shared" si="230"/>
        <v>7.9736000000000002</v>
      </c>
      <c r="G246" s="277">
        <f t="shared" si="230"/>
        <v>6.9905999999999997</v>
      </c>
      <c r="H246" s="277">
        <f t="shared" si="230"/>
        <v>5.8982999999999999</v>
      </c>
      <c r="R246" s="263"/>
      <c r="Z246" s="263"/>
    </row>
    <row r="247" spans="1:26" ht="26.1" customHeight="1">
      <c r="A247" s="279" t="s">
        <v>336</v>
      </c>
      <c r="B247" s="277">
        <f t="shared" ref="B247:H247" si="231">ROUND(B46*$B$217*$B$7/100*SIN(RADIANS(B218))*$B$33,4)</f>
        <v>0.22090000000000001</v>
      </c>
      <c r="C247" s="277">
        <f t="shared" si="231"/>
        <v>0.44009999999999999</v>
      </c>
      <c r="D247" s="277">
        <f t="shared" si="231"/>
        <v>0.86680000000000001</v>
      </c>
      <c r="E247" s="277">
        <f t="shared" si="231"/>
        <v>1.2672000000000001</v>
      </c>
      <c r="F247" s="277">
        <f t="shared" si="231"/>
        <v>1.4537</v>
      </c>
      <c r="G247" s="277">
        <f t="shared" si="231"/>
        <v>1.6291</v>
      </c>
      <c r="H247" s="277">
        <f t="shared" si="231"/>
        <v>1.7921</v>
      </c>
      <c r="R247" s="263"/>
      <c r="Z247" s="263"/>
    </row>
    <row r="248" spans="1:26" ht="26.1" customHeight="1">
      <c r="A248" s="279" t="s">
        <v>324</v>
      </c>
      <c r="B248" s="277">
        <f t="shared" ref="B248:H248" si="232">ROUND(B46*$B$142*$B$141*($B$217+2)*SIN(RADIANS(B218))*$B$33,4)</f>
        <v>3.5200000000000002E-2</v>
      </c>
      <c r="C248" s="277">
        <f t="shared" si="232"/>
        <v>7.0099999999999996E-2</v>
      </c>
      <c r="D248" s="277">
        <f t="shared" si="232"/>
        <v>0.1381</v>
      </c>
      <c r="E248" s="277">
        <f t="shared" si="232"/>
        <v>0.20180000000000001</v>
      </c>
      <c r="F248" s="277">
        <f t="shared" si="232"/>
        <v>0.23150000000000001</v>
      </c>
      <c r="G248" s="277">
        <f t="shared" si="232"/>
        <v>0.25950000000000001</v>
      </c>
      <c r="H248" s="277">
        <f t="shared" si="232"/>
        <v>0.28539999999999999</v>
      </c>
      <c r="R248" s="263"/>
      <c r="Z248" s="263"/>
    </row>
    <row r="249" spans="1:26" ht="26.1" customHeight="1">
      <c r="A249" s="279" t="s">
        <v>325</v>
      </c>
      <c r="B249" s="277">
        <f>B246+B247+B248</f>
        <v>11.818300000000001</v>
      </c>
      <c r="C249" s="277">
        <f t="shared" ref="C249:H249" si="233">C246+C247+C248</f>
        <v>8.2653999999999996</v>
      </c>
      <c r="D249" s="277">
        <f t="shared" si="233"/>
        <v>8.4323999999999995</v>
      </c>
      <c r="E249" s="277">
        <f t="shared" si="233"/>
        <v>9.7703000000000007</v>
      </c>
      <c r="F249" s="277">
        <f t="shared" si="233"/>
        <v>9.6587999999999994</v>
      </c>
      <c r="G249" s="277">
        <f t="shared" si="233"/>
        <v>8.8792000000000009</v>
      </c>
      <c r="H249" s="277">
        <f t="shared" si="233"/>
        <v>7.9757999999999996</v>
      </c>
      <c r="R249" s="263"/>
      <c r="Z249" s="263"/>
    </row>
    <row r="250" spans="1:26" ht="26.1" customHeight="1">
      <c r="A250" s="279" t="s">
        <v>326</v>
      </c>
      <c r="B250" s="277">
        <f>ROUND(B244*$G$215+B245*$G$215*0.5,4)</f>
        <v>0.64270000000000005</v>
      </c>
      <c r="C250" s="277">
        <f t="shared" ref="C250:H250" si="234">ROUND(C244*$G$215+C245*$G$215*0.5,4)</f>
        <v>0.84599999999999997</v>
      </c>
      <c r="D250" s="277">
        <f t="shared" si="234"/>
        <v>2.1438000000000001</v>
      </c>
      <c r="E250" s="277">
        <f t="shared" si="234"/>
        <v>3.7408999999999999</v>
      </c>
      <c r="F250" s="277">
        <f t="shared" si="234"/>
        <v>4.3399000000000001</v>
      </c>
      <c r="G250" s="277">
        <f t="shared" si="234"/>
        <v>5.3303000000000003</v>
      </c>
      <c r="H250" s="277">
        <f t="shared" si="234"/>
        <v>6.0685000000000002</v>
      </c>
      <c r="R250" s="263"/>
      <c r="Z250" s="263"/>
    </row>
    <row r="251" spans="1:26" ht="26.1" customHeight="1">
      <c r="A251" s="279" t="s">
        <v>327</v>
      </c>
      <c r="B251" s="277">
        <f>ROUND(B244*$B$215+B245*$B$215*0.5+B249,4)</f>
        <v>12.461</v>
      </c>
      <c r="C251" s="277">
        <f t="shared" ref="C251:H251" si="235">ROUND(C244*$B$215+C245*$B$215*0.5+C249,4)</f>
        <v>9.1113999999999997</v>
      </c>
      <c r="D251" s="277">
        <f t="shared" si="235"/>
        <v>10.5762</v>
      </c>
      <c r="E251" s="277">
        <f t="shared" si="235"/>
        <v>13.511200000000001</v>
      </c>
      <c r="F251" s="277">
        <f t="shared" si="235"/>
        <v>13.998699999999999</v>
      </c>
      <c r="G251" s="277">
        <f t="shared" si="235"/>
        <v>14.2095</v>
      </c>
      <c r="H251" s="277">
        <f t="shared" si="235"/>
        <v>14.0443</v>
      </c>
      <c r="R251" s="263"/>
    </row>
    <row r="252" spans="1:26" ht="26.1" customHeight="1">
      <c r="A252" s="279" t="s">
        <v>328</v>
      </c>
      <c r="B252" s="277">
        <f t="shared" ref="B252:H252" si="236">ROUND(B243*SIN(RADIANS(B238))+B244,4)</f>
        <v>0.70730000000000004</v>
      </c>
      <c r="C252" s="277">
        <f t="shared" si="236"/>
        <v>0.96089999999999998</v>
      </c>
      <c r="D252" s="277">
        <f t="shared" si="236"/>
        <v>2.4546999999999999</v>
      </c>
      <c r="E252" s="277">
        <f t="shared" si="236"/>
        <v>4.2930999999999999</v>
      </c>
      <c r="F252" s="277">
        <f t="shared" si="236"/>
        <v>4.9825999999999997</v>
      </c>
      <c r="G252" s="277">
        <f t="shared" si="236"/>
        <v>6.1226000000000003</v>
      </c>
      <c r="H252" s="277">
        <f t="shared" si="236"/>
        <v>6.9722999999999997</v>
      </c>
      <c r="R252" s="263"/>
    </row>
    <row r="253" spans="1:26" ht="26.1" customHeight="1">
      <c r="A253" s="276" t="s">
        <v>329</v>
      </c>
      <c r="B253" s="277">
        <f>ROUND(B250*1000000/$G$208,3)</f>
        <v>7.1870000000000003</v>
      </c>
      <c r="C253" s="277">
        <f t="shared" ref="C253:H253" si="237">ROUND(C250*1000000/$G$208,3)</f>
        <v>9.4600000000000009</v>
      </c>
      <c r="D253" s="277">
        <f t="shared" si="237"/>
        <v>23.972000000000001</v>
      </c>
      <c r="E253" s="277">
        <f t="shared" si="237"/>
        <v>41.831000000000003</v>
      </c>
      <c r="F253" s="277">
        <f t="shared" si="237"/>
        <v>48.529000000000003</v>
      </c>
      <c r="G253" s="277">
        <f t="shared" si="237"/>
        <v>59.603999999999999</v>
      </c>
      <c r="H253" s="277">
        <f t="shared" si="237"/>
        <v>67.858000000000004</v>
      </c>
      <c r="R253" s="263"/>
    </row>
    <row r="254" spans="1:26" ht="26.1" customHeight="1">
      <c r="A254" s="276" t="s">
        <v>330</v>
      </c>
      <c r="B254" s="277">
        <f>ROUND(B251*1000000/$B$208,3)</f>
        <v>101.21899999999999</v>
      </c>
      <c r="C254" s="277">
        <f t="shared" ref="C254:H254" si="238">ROUND(C251*1000000/$B$208,3)</f>
        <v>74.010999999999996</v>
      </c>
      <c r="D254" s="277">
        <f t="shared" si="238"/>
        <v>85.909000000000006</v>
      </c>
      <c r="E254" s="277">
        <f t="shared" si="238"/>
        <v>109.75</v>
      </c>
      <c r="F254" s="277">
        <f t="shared" si="238"/>
        <v>113.71</v>
      </c>
      <c r="G254" s="277">
        <f t="shared" si="238"/>
        <v>115.422</v>
      </c>
      <c r="H254" s="277">
        <f t="shared" si="238"/>
        <v>114.08</v>
      </c>
      <c r="R254" s="263"/>
    </row>
    <row r="255" spans="1:26" ht="26.1" customHeight="1">
      <c r="A255" s="278" t="s">
        <v>331</v>
      </c>
      <c r="B255" s="308">
        <f>B253/$B$207</f>
        <v>2.3183870967741899E-2</v>
      </c>
      <c r="C255" s="308">
        <f t="shared" ref="C255:H256" si="239">C253/$B$207</f>
        <v>3.0516129032258098E-2</v>
      </c>
      <c r="D255" s="308">
        <f t="shared" si="239"/>
        <v>7.7329032258064506E-2</v>
      </c>
      <c r="E255" s="308">
        <f t="shared" si="239"/>
        <v>0.134938709677419</v>
      </c>
      <c r="F255" s="308">
        <f t="shared" si="239"/>
        <v>0.156545161290323</v>
      </c>
      <c r="G255" s="308">
        <f t="shared" si="239"/>
        <v>0.192270967741935</v>
      </c>
      <c r="H255" s="308">
        <f t="shared" si="239"/>
        <v>0.218896774193548</v>
      </c>
      <c r="R255" s="263"/>
    </row>
    <row r="256" spans="1:26" ht="26.1" customHeight="1">
      <c r="A256" s="278" t="s">
        <v>332</v>
      </c>
      <c r="B256" s="308">
        <f>B254/$B$207</f>
        <v>0.32651290322580601</v>
      </c>
      <c r="C256" s="308">
        <f t="shared" si="239"/>
        <v>0.238745161290323</v>
      </c>
      <c r="D256" s="308">
        <f t="shared" si="239"/>
        <v>0.277125806451613</v>
      </c>
      <c r="E256" s="308">
        <f t="shared" si="239"/>
        <v>0.35403225806451599</v>
      </c>
      <c r="F256" s="308">
        <f t="shared" si="239"/>
        <v>0.36680645161290298</v>
      </c>
      <c r="G256" s="308">
        <f t="shared" si="239"/>
        <v>0.37232903225806502</v>
      </c>
      <c r="H256" s="308">
        <f t="shared" si="239"/>
        <v>0.36799999999999999</v>
      </c>
      <c r="R256" s="263"/>
    </row>
    <row r="257" spans="18:18" ht="26.1" customHeight="1">
      <c r="R257" s="263"/>
    </row>
    <row r="258" spans="18:18" ht="26.1" customHeight="1">
      <c r="R258" s="263"/>
    </row>
    <row r="259" spans="18:18" ht="26.1" customHeight="1">
      <c r="R259" s="263"/>
    </row>
    <row r="260" spans="18:18" ht="26.1" customHeight="1">
      <c r="R260" s="263"/>
    </row>
    <row r="261" spans="18:18" ht="26.1" customHeight="1">
      <c r="R261" s="263"/>
    </row>
    <row r="262" spans="18:18" ht="26.1" customHeight="1">
      <c r="R262" s="263"/>
    </row>
    <row r="263" spans="18:18" ht="26.1" customHeight="1">
      <c r="R263" s="263"/>
    </row>
    <row r="264" spans="18:18" ht="26.1" customHeight="1">
      <c r="R264" s="263"/>
    </row>
    <row r="265" spans="18:18" ht="26.1" customHeight="1">
      <c r="R265" s="263"/>
    </row>
    <row r="266" spans="18:18" ht="26.1" customHeight="1">
      <c r="R266" s="263"/>
    </row>
    <row r="267" spans="18:18" ht="26.1" customHeight="1">
      <c r="R267" s="263"/>
    </row>
    <row r="268" spans="18:18" ht="26.1" customHeight="1">
      <c r="R268" s="263"/>
    </row>
    <row r="269" spans="18:18" ht="26.1" customHeight="1">
      <c r="R269" s="263"/>
    </row>
    <row r="270" spans="18:18" ht="26.1" customHeight="1">
      <c r="R270" s="263"/>
    </row>
    <row r="271" spans="18:18" ht="26.1" customHeight="1">
      <c r="R271" s="263"/>
    </row>
    <row r="272" spans="18:18" ht="26.1" customHeight="1">
      <c r="R272" s="263"/>
    </row>
    <row r="273" spans="18:18" ht="26.1" customHeight="1">
      <c r="R273" s="263"/>
    </row>
    <row r="274" spans="18:18" ht="26.1" customHeight="1">
      <c r="R274" s="263"/>
    </row>
    <row r="275" spans="18:18" ht="26.1" customHeight="1">
      <c r="R275" s="263"/>
    </row>
    <row r="276" spans="18:18" ht="26.1" customHeight="1">
      <c r="R276" s="263"/>
    </row>
    <row r="277" spans="18:18" ht="26.1" customHeight="1">
      <c r="R277" s="263"/>
    </row>
    <row r="278" spans="18:18" ht="26.1" customHeight="1">
      <c r="R278" s="263"/>
    </row>
    <row r="279" spans="18:18" ht="26.1" customHeight="1">
      <c r="R279" s="263"/>
    </row>
    <row r="280" spans="18:18" ht="26.1" customHeight="1">
      <c r="R280" s="263"/>
    </row>
    <row r="281" spans="18:18" ht="26.1" customHeight="1">
      <c r="R281" s="263"/>
    </row>
    <row r="282" spans="18:18" ht="26.1" customHeight="1">
      <c r="R282" s="263"/>
    </row>
    <row r="283" spans="18:18" ht="26.1" customHeight="1">
      <c r="R283" s="263"/>
    </row>
    <row r="284" spans="18:18" ht="26.1" customHeight="1">
      <c r="R284" s="263"/>
    </row>
    <row r="285" spans="18:18" ht="26.1" customHeight="1">
      <c r="R285" s="263"/>
    </row>
    <row r="286" spans="18:18" ht="26.1" customHeight="1">
      <c r="R286" s="263"/>
    </row>
    <row r="287" spans="18:18" ht="26.1" customHeight="1">
      <c r="R287" s="263"/>
    </row>
    <row r="288" spans="18:18" ht="26.1" customHeight="1">
      <c r="R288" s="263"/>
    </row>
    <row r="289" spans="18:18" ht="26.1" customHeight="1">
      <c r="R289" s="263"/>
    </row>
    <row r="290" spans="18:18" ht="26.1" customHeight="1">
      <c r="R290" s="263"/>
    </row>
    <row r="291" spans="18:18" ht="26.1" customHeight="1">
      <c r="R291" s="263"/>
    </row>
    <row r="292" spans="18:18" ht="26.1" customHeight="1">
      <c r="R292" s="263"/>
    </row>
    <row r="293" spans="18:18" ht="26.1" customHeight="1">
      <c r="R293" s="263"/>
    </row>
    <row r="294" spans="18:18" ht="26.1" customHeight="1">
      <c r="R294" s="263"/>
    </row>
    <row r="295" spans="18:18" ht="26.1" customHeight="1">
      <c r="R295" s="263"/>
    </row>
    <row r="296" spans="18:18" ht="26.1" customHeight="1">
      <c r="R296" s="263"/>
    </row>
    <row r="297" spans="18:18" ht="26.1" customHeight="1">
      <c r="R297" s="263"/>
    </row>
    <row r="298" spans="18:18" ht="26.1" customHeight="1">
      <c r="R298" s="263"/>
    </row>
    <row r="299" spans="18:18" ht="26.1" customHeight="1">
      <c r="R299" s="263"/>
    </row>
    <row r="300" spans="18:18" ht="26.1" customHeight="1">
      <c r="R300" s="263"/>
    </row>
    <row r="301" spans="18:18" ht="26.1" customHeight="1">
      <c r="R301" s="263"/>
    </row>
    <row r="302" spans="18:18" ht="26.1" customHeight="1">
      <c r="R302" s="263"/>
    </row>
    <row r="303" spans="18:18" ht="26.1" customHeight="1">
      <c r="R303" s="263"/>
    </row>
    <row r="304" spans="18:18" ht="26.1" customHeight="1">
      <c r="R304" s="263"/>
    </row>
    <row r="305" spans="18:18" ht="26.1" customHeight="1">
      <c r="R305" s="263"/>
    </row>
    <row r="306" spans="18:18" ht="26.1" customHeight="1">
      <c r="R306" s="263"/>
    </row>
    <row r="307" spans="18:18" ht="26.1" customHeight="1">
      <c r="R307" s="263"/>
    </row>
    <row r="308" spans="18:18" ht="26.1" customHeight="1">
      <c r="R308" s="263"/>
    </row>
    <row r="309" spans="18:18" ht="26.1" customHeight="1">
      <c r="R309" s="263"/>
    </row>
    <row r="310" spans="18:18" ht="26.1" customHeight="1">
      <c r="R310" s="263"/>
    </row>
    <row r="311" spans="18:18" ht="26.1" customHeight="1">
      <c r="R311" s="263"/>
    </row>
    <row r="312" spans="18:18" ht="26.1" customHeight="1">
      <c r="R312" s="263"/>
    </row>
    <row r="313" spans="18:18" ht="26.1" customHeight="1">
      <c r="R313" s="263"/>
    </row>
    <row r="314" spans="18:18" ht="26.1" customHeight="1">
      <c r="R314" s="263"/>
    </row>
    <row r="315" spans="18:18" ht="26.1" customHeight="1">
      <c r="R315" s="263"/>
    </row>
    <row r="316" spans="18:18" ht="26.1" customHeight="1">
      <c r="R316" s="263"/>
    </row>
    <row r="317" spans="18:18" ht="26.1" customHeight="1">
      <c r="R317" s="263"/>
    </row>
    <row r="318" spans="18:18" ht="26.1" customHeight="1">
      <c r="R318" s="263"/>
    </row>
    <row r="319" spans="18:18" ht="26.1" customHeight="1">
      <c r="R319" s="263"/>
    </row>
    <row r="320" spans="18:18" ht="26.1" customHeight="1">
      <c r="R320" s="263"/>
    </row>
    <row r="321" spans="18:18" ht="26.1" customHeight="1">
      <c r="R321" s="263"/>
    </row>
    <row r="322" spans="18:18" ht="26.1" customHeight="1">
      <c r="R322" s="263"/>
    </row>
    <row r="323" spans="18:18" ht="26.1" customHeight="1">
      <c r="R323" s="263"/>
    </row>
    <row r="324" spans="18:18" ht="26.1" customHeight="1">
      <c r="R324" s="263"/>
    </row>
    <row r="325" spans="18:18" ht="26.1" customHeight="1">
      <c r="R325" s="263"/>
    </row>
    <row r="326" spans="18:18" ht="26.1" customHeight="1">
      <c r="R326" s="263"/>
    </row>
    <row r="327" spans="18:18" ht="26.1" customHeight="1">
      <c r="R327" s="263"/>
    </row>
    <row r="328" spans="18:18" ht="26.1" customHeight="1">
      <c r="R328" s="263"/>
    </row>
    <row r="329" spans="18:18" ht="26.1" customHeight="1">
      <c r="R329" s="263"/>
    </row>
    <row r="330" spans="18:18" ht="26.1" customHeight="1">
      <c r="R330" s="263"/>
    </row>
    <row r="331" spans="18:18" ht="26.1" customHeight="1">
      <c r="R331" s="263"/>
    </row>
    <row r="332" spans="18:18" ht="26.1" customHeight="1">
      <c r="R332" s="263"/>
    </row>
    <row r="333" spans="18:18" ht="26.1" customHeight="1">
      <c r="R333" s="263"/>
    </row>
    <row r="334" spans="18:18" ht="26.1" customHeight="1">
      <c r="R334" s="263"/>
    </row>
    <row r="335" spans="18:18" ht="26.1" customHeight="1">
      <c r="R335" s="263"/>
    </row>
    <row r="336" spans="18:18" ht="26.1" customHeight="1">
      <c r="R336" s="263"/>
    </row>
    <row r="337" spans="18:18" ht="26.1" customHeight="1">
      <c r="R337" s="263"/>
    </row>
    <row r="338" spans="18:18" ht="26.1" customHeight="1">
      <c r="R338" s="263"/>
    </row>
    <row r="339" spans="18:18" ht="26.1" customHeight="1">
      <c r="R339" s="263"/>
    </row>
    <row r="340" spans="18:18" ht="26.1" customHeight="1">
      <c r="R340" s="263"/>
    </row>
    <row r="341" spans="18:18" ht="26.1" customHeight="1">
      <c r="R341" s="263"/>
    </row>
    <row r="342" spans="18:18" ht="26.1" customHeight="1">
      <c r="R342" s="263"/>
    </row>
    <row r="343" spans="18:18" ht="26.1" customHeight="1">
      <c r="R343" s="263"/>
    </row>
    <row r="344" spans="18:18" ht="26.1" customHeight="1">
      <c r="R344" s="263"/>
    </row>
    <row r="345" spans="18:18" ht="26.1" customHeight="1">
      <c r="R345" s="263"/>
    </row>
    <row r="346" spans="18:18" ht="26.1" customHeight="1">
      <c r="R346" s="263"/>
    </row>
    <row r="347" spans="18:18" ht="26.1" customHeight="1">
      <c r="R347" s="263"/>
    </row>
    <row r="348" spans="18:18" ht="26.1" customHeight="1">
      <c r="R348" s="263"/>
    </row>
    <row r="349" spans="18:18" ht="26.1" customHeight="1">
      <c r="R349" s="263"/>
    </row>
    <row r="350" spans="18:18" ht="26.1" customHeight="1">
      <c r="R350" s="263"/>
    </row>
    <row r="351" spans="18:18" ht="26.1" customHeight="1">
      <c r="R351" s="263"/>
    </row>
    <row r="352" spans="18:18" ht="26.1" customHeight="1">
      <c r="R352" s="263"/>
    </row>
    <row r="353" spans="18:18" ht="26.1" customHeight="1">
      <c r="R353" s="263"/>
    </row>
    <row r="354" spans="18:18" ht="26.1" customHeight="1">
      <c r="R354" s="263"/>
    </row>
    <row r="355" spans="18:18" ht="26.1" customHeight="1">
      <c r="R355" s="263"/>
    </row>
    <row r="356" spans="18:18" ht="26.1" customHeight="1">
      <c r="R356" s="263"/>
    </row>
    <row r="357" spans="18:18" ht="26.1" customHeight="1">
      <c r="R357" s="263"/>
    </row>
    <row r="358" spans="18:18" ht="26.1" customHeight="1">
      <c r="R358" s="263"/>
    </row>
    <row r="359" spans="18:18" ht="26.1" customHeight="1">
      <c r="R359" s="263"/>
    </row>
    <row r="360" spans="18:18" ht="26.1" customHeight="1">
      <c r="R360" s="263"/>
    </row>
    <row r="361" spans="18:18" ht="26.1" customHeight="1">
      <c r="R361" s="263"/>
    </row>
    <row r="362" spans="18:18" ht="26.1" customHeight="1">
      <c r="R362" s="263"/>
    </row>
    <row r="363" spans="18:18" ht="26.1" customHeight="1">
      <c r="R363" s="263"/>
    </row>
    <row r="364" spans="18:18" ht="26.1" customHeight="1">
      <c r="R364" s="263"/>
    </row>
    <row r="365" spans="18:18" ht="26.1" customHeight="1">
      <c r="R365" s="263"/>
    </row>
    <row r="366" spans="18:18" ht="26.1" customHeight="1">
      <c r="R366" s="263"/>
    </row>
    <row r="367" spans="18:18" ht="26.1" customHeight="1">
      <c r="R367" s="263"/>
    </row>
    <row r="368" spans="18:18" ht="26.1" customHeight="1">
      <c r="R368" s="263"/>
    </row>
    <row r="369" spans="18:18" ht="26.1" customHeight="1">
      <c r="R369" s="263"/>
    </row>
    <row r="370" spans="18:18" ht="26.1" customHeight="1">
      <c r="R370" s="263"/>
    </row>
    <row r="371" spans="18:18" ht="26.1" customHeight="1">
      <c r="R371" s="263"/>
    </row>
    <row r="372" spans="18:18" ht="26.1" customHeight="1">
      <c r="R372" s="263"/>
    </row>
    <row r="373" spans="18:18" ht="26.1" customHeight="1">
      <c r="R373" s="263"/>
    </row>
    <row r="374" spans="18:18" ht="26.1" customHeight="1">
      <c r="R374" s="263"/>
    </row>
    <row r="375" spans="18:18" ht="26.1" customHeight="1">
      <c r="R375" s="263"/>
    </row>
    <row r="376" spans="18:18" ht="26.1" customHeight="1">
      <c r="R376" s="263"/>
    </row>
    <row r="377" spans="18:18" ht="26.1" customHeight="1">
      <c r="R377" s="263"/>
    </row>
    <row r="378" spans="18:18" ht="26.1" customHeight="1">
      <c r="R378" s="263"/>
    </row>
    <row r="379" spans="18:18" ht="26.1" customHeight="1">
      <c r="R379" s="263"/>
    </row>
    <row r="380" spans="18:18" ht="26.1" customHeight="1">
      <c r="R380" s="263"/>
    </row>
    <row r="381" spans="18:18" ht="26.1" customHeight="1">
      <c r="R381" s="263"/>
    </row>
    <row r="382" spans="18:18" ht="26.1" customHeight="1">
      <c r="R382" s="263"/>
    </row>
    <row r="383" spans="18:18" ht="26.1" customHeight="1">
      <c r="R383" s="263"/>
    </row>
    <row r="384" spans="18:18" ht="26.1" customHeight="1">
      <c r="R384" s="263"/>
    </row>
    <row r="385" spans="18:18" ht="26.1" customHeight="1">
      <c r="R385" s="263"/>
    </row>
    <row r="386" spans="18:18" ht="26.1" customHeight="1">
      <c r="R386" s="263"/>
    </row>
    <row r="387" spans="18:18" ht="26.1" customHeight="1">
      <c r="R387" s="263"/>
    </row>
    <row r="388" spans="18:18" ht="26.1" customHeight="1">
      <c r="R388" s="263"/>
    </row>
    <row r="389" spans="18:18" ht="26.1" customHeight="1">
      <c r="R389" s="263"/>
    </row>
    <row r="390" spans="18:18" ht="26.1" customHeight="1">
      <c r="R390" s="263"/>
    </row>
    <row r="391" spans="18:18" ht="26.1" customHeight="1">
      <c r="R391" s="263"/>
    </row>
    <row r="392" spans="18:18" ht="26.1" customHeight="1">
      <c r="R392" s="263"/>
    </row>
    <row r="393" spans="18:18" ht="26.1" customHeight="1">
      <c r="R393" s="263"/>
    </row>
    <row r="394" spans="18:18" ht="26.1" customHeight="1">
      <c r="R394" s="263"/>
    </row>
    <row r="395" spans="18:18" ht="26.1" customHeight="1">
      <c r="R395" s="263"/>
    </row>
    <row r="396" spans="18:18" ht="26.1" customHeight="1">
      <c r="R396" s="263"/>
    </row>
    <row r="397" spans="18:18" ht="26.1" customHeight="1">
      <c r="R397" s="263"/>
    </row>
    <row r="398" spans="18:18" ht="26.1" customHeight="1">
      <c r="R398" s="263"/>
    </row>
    <row r="399" spans="18:18" ht="26.1" customHeight="1">
      <c r="R399" s="263"/>
    </row>
    <row r="400" spans="18:18" ht="26.1" customHeight="1">
      <c r="R400" s="263"/>
    </row>
  </sheetData>
  <mergeCells count="33">
    <mergeCell ref="E214:F214"/>
    <mergeCell ref="E215:F215"/>
    <mergeCell ref="E216:F216"/>
    <mergeCell ref="E217:F217"/>
    <mergeCell ref="A122:H124"/>
    <mergeCell ref="E208:F208"/>
    <mergeCell ref="E210:F210"/>
    <mergeCell ref="E211:F211"/>
    <mergeCell ref="E212:F212"/>
    <mergeCell ref="E213:F213"/>
    <mergeCell ref="E204:F204"/>
    <mergeCell ref="E205:F205"/>
    <mergeCell ref="G205:H205"/>
    <mergeCell ref="E206:F206"/>
    <mergeCell ref="E207:F207"/>
    <mergeCell ref="K96:M96"/>
    <mergeCell ref="N96:P96"/>
    <mergeCell ref="U96:W96"/>
    <mergeCell ref="X96:Z96"/>
    <mergeCell ref="A121:H121"/>
    <mergeCell ref="A71:H71"/>
    <mergeCell ref="K80:M80"/>
    <mergeCell ref="N80:P80"/>
    <mergeCell ref="U80:W80"/>
    <mergeCell ref="X80:Z80"/>
    <mergeCell ref="A72:H74"/>
    <mergeCell ref="A1:H1"/>
    <mergeCell ref="J1:AF1"/>
    <mergeCell ref="BD29:BE29"/>
    <mergeCell ref="R42:S42"/>
    <mergeCell ref="T42:U42"/>
    <mergeCell ref="V42:W42"/>
    <mergeCell ref="X42:Y42"/>
  </mergeCells>
  <phoneticPr fontId="80" type="noConversion"/>
  <conditionalFormatting sqref="B79:H79 H129 B129:G130 B174:H174 H200 B200:G201 B235:H236 B255:H256">
    <cfRule type="cellIs" dxfId="57" priority="7" operator="greaterThan">
      <formula>1</formula>
    </cfRule>
  </conditionalFormatting>
  <conditionalFormatting sqref="F202:I202">
    <cfRule type="containsText" dxfId="56" priority="8" operator="containsText" text="不满足">
      <formula>NOT(ISERROR(SEARCH("不满足",F202)))</formula>
    </cfRule>
  </conditionalFormatting>
  <dataValidations count="14">
    <dataValidation type="list" allowBlank="1" showInputMessage="1" showErrorMessage="1" sqref="B13" xr:uid="{00000000-0002-0000-0300-000000000000}">
      <formula1>"方管,多棱管,O形截面"</formula1>
    </dataValidation>
    <dataValidation type="list" allowBlank="1" showInputMessage="1" showErrorMessage="1" sqref="B14" xr:uid="{00000000-0002-0000-0300-000001000000}">
      <formula1>IF($B$13="钢管",$J$6:$J$13,IF($B$13="方管",$AA$6:$AA$13,IF($B$13="H型钢",$J$18:$J$27,IF($B$13="多棱管",$J$31:$J$36,IF($B$13="O形截面",$AA$18:$AA$25)))))</formula1>
    </dataValidation>
    <dataValidation type="list" allowBlank="1" showInputMessage="1" showErrorMessage="1" sqref="E32" xr:uid="{00000000-0002-0000-0300-000002000000}">
      <formula1>$Q$44:$Q$49</formula1>
    </dataValidation>
    <dataValidation type="list" allowBlank="1" showInputMessage="1" showErrorMessage="1" sqref="E33" xr:uid="{00000000-0002-0000-0300-000003000000}">
      <formula1>"自动,自定义"</formula1>
    </dataValidation>
    <dataValidation type="list" allowBlank="1" showInputMessage="1" showErrorMessage="1" sqref="E34" xr:uid="{00000000-0002-0000-0300-000004000000}">
      <formula1>"1P,2P"</formula1>
    </dataValidation>
    <dataValidation type="list" allowBlank="1" showInputMessage="1" showErrorMessage="1" sqref="B35:H35" xr:uid="{00000000-0002-0000-0300-000005000000}">
      <formula1>$J$82:$J$94</formula1>
    </dataValidation>
    <dataValidation type="list" allowBlank="1" showInputMessage="1" showErrorMessage="1" sqref="B36:H36 B91:H91" xr:uid="{00000000-0002-0000-0300-000006000000}">
      <formula1>"抗风模式,运行模式"</formula1>
    </dataValidation>
    <dataValidation type="list" allowBlank="1" showInputMessage="1" showErrorMessage="1" sqref="B132" xr:uid="{00000000-0002-0000-0300-000007000000}">
      <formula1>"方管,几型钢,自定义"</formula1>
    </dataValidation>
    <dataValidation type="list" allowBlank="1" showInputMessage="1" showErrorMessage="1" sqref="B133" xr:uid="{00000000-0002-0000-0300-000008000000}">
      <formula1>IF($B$132="钢管",$J$6:$J$13,IF($B$132="方管",$AA$6:$AA$13,IF($B$132="H型钢",$J$18:$J$27,IF($B$132="多棱管",$J$31:$J$32,IF($B$132="自定义",$AA$18:$AA$27,IF($B$132="几型钢",$AA$31:$AA$32))))))</formula1>
    </dataValidation>
    <dataValidation type="list" allowBlank="1" showInputMessage="1" showErrorMessage="1" sqref="B152:H152 B178:H178 B219:H219 B239:H239" xr:uid="{00000000-0002-0000-0300-000009000000}">
      <formula1>"正常运行,停止保护"</formula1>
    </dataValidation>
    <dataValidation type="list" allowBlank="1" showInputMessage="1" showErrorMessage="1" sqref="B204 G204" xr:uid="{00000000-0002-0000-0300-00000A000000}">
      <formula1>"钢管,方管,H型钢,自定义"</formula1>
    </dataValidation>
    <dataValidation type="list" allowBlank="1" showInputMessage="1" showErrorMessage="1" sqref="B205 G205" xr:uid="{00000000-0002-0000-0300-00000B000000}">
      <formula1>IF($B$204="钢管",$J$6:$J$13,IF($B$204="方管",$AA$6:$AA$13,IF($B$204="H型钢",$J$18:$J$27,IF($B$204="多棱管",$J$31:$J$32,IF($B$204="自定义",$AA$18:$AA$27,IF($B$204="几型钢",$AA$31:$AA$32))))))</formula1>
    </dataValidation>
    <dataValidation type="list" allowBlank="1" showInputMessage="1" showErrorMessage="1" sqref="K6:K13 K18:K25 K31:K36 AB6:AB13 AB18:AB25 AB31:AB36" xr:uid="{00000000-0002-0000-0300-00000C000000}">
      <formula1>"Q235B,Q355B,Q420B"</formula1>
    </dataValidation>
    <dataValidation type="list" allowBlank="1" showInputMessage="1" showErrorMessage="1" sqref="L31:L36" xr:uid="{00000000-0002-0000-0300-00000D000000}">
      <formula1>"8边,6边"</formula1>
    </dataValidation>
  </dataValidations>
  <pageMargins left="0.25" right="0.25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B376"/>
  <sheetViews>
    <sheetView topLeftCell="C85" workbookViewId="0">
      <selection activeCell="L14" sqref="L14"/>
    </sheetView>
  </sheetViews>
  <sheetFormatPr defaultColWidth="11.25" defaultRowHeight="26.1" customHeight="1"/>
  <cols>
    <col min="1" max="1" width="32.375" style="263" customWidth="1"/>
    <col min="2" max="2" width="12.625" style="263" customWidth="1"/>
    <col min="3" max="3" width="7.75" style="263" customWidth="1"/>
    <col min="4" max="4" width="13.375" style="263" customWidth="1"/>
    <col min="5" max="5" width="11.375" style="263" customWidth="1"/>
    <col min="6" max="6" width="8.625" style="263" customWidth="1"/>
    <col min="7" max="7" width="10.125" style="263" customWidth="1"/>
    <col min="8" max="8" width="7.25" style="263" customWidth="1"/>
    <col min="9" max="9" width="11.125" style="263" customWidth="1"/>
    <col min="10" max="10" width="15.5" style="263" customWidth="1"/>
    <col min="11" max="12" width="8.125" style="263" customWidth="1"/>
    <col min="13" max="13" width="11" style="263" customWidth="1"/>
    <col min="14" max="14" width="11.75" style="263" customWidth="1"/>
    <col min="15" max="17" width="8.125" style="263" customWidth="1"/>
    <col min="18" max="18" width="8.125" style="264" customWidth="1"/>
    <col min="19" max="25" width="8.125" style="263" customWidth="1"/>
    <col min="26" max="26" width="8.125" style="264" customWidth="1"/>
    <col min="27" max="27" width="12" style="263" customWidth="1"/>
    <col min="28" max="32" width="8.125" style="263" customWidth="1"/>
    <col min="33" max="33" width="8.125" style="263" hidden="1" customWidth="1"/>
    <col min="34" max="34" width="10.375" style="263" hidden="1" customWidth="1"/>
    <col min="35" max="43" width="8.125" style="263" hidden="1" customWidth="1"/>
    <col min="44" max="80" width="11.25" style="263" hidden="1" customWidth="1"/>
    <col min="81" max="16384" width="11.25" style="263"/>
  </cols>
  <sheetData>
    <row r="1" spans="1:57" ht="37.5" customHeight="1">
      <c r="A1" s="362" t="s">
        <v>375</v>
      </c>
      <c r="B1" s="362"/>
      <c r="C1" s="362"/>
      <c r="D1" s="362"/>
      <c r="E1" s="362"/>
      <c r="F1" s="362"/>
      <c r="G1" s="362"/>
      <c r="H1" s="362"/>
      <c r="R1" s="263"/>
      <c r="Z1" s="263"/>
      <c r="AG1" s="263">
        <v>7</v>
      </c>
      <c r="AH1" s="263">
        <v>8</v>
      </c>
      <c r="AI1" s="263">
        <v>9</v>
      </c>
      <c r="AJ1" s="263">
        <v>10</v>
      </c>
      <c r="AK1" s="263">
        <v>11</v>
      </c>
      <c r="AL1" s="263">
        <v>12</v>
      </c>
      <c r="AM1" s="263">
        <v>13</v>
      </c>
      <c r="AN1" s="263">
        <v>14</v>
      </c>
      <c r="AO1" s="263">
        <v>15</v>
      </c>
      <c r="AP1" s="263">
        <v>16</v>
      </c>
      <c r="AQ1" s="263">
        <v>17</v>
      </c>
      <c r="AR1" s="263">
        <v>18</v>
      </c>
      <c r="AS1" s="263">
        <v>19</v>
      </c>
      <c r="AT1" s="263">
        <v>20</v>
      </c>
      <c r="AU1" s="263">
        <v>21</v>
      </c>
      <c r="AV1" s="263">
        <v>22</v>
      </c>
    </row>
    <row r="2" spans="1:57" ht="26.1" customHeight="1">
      <c r="A2" s="265"/>
      <c r="B2" s="265"/>
      <c r="C2" s="265"/>
      <c r="D2" s="265"/>
      <c r="E2" s="265"/>
      <c r="F2" s="265"/>
      <c r="G2" s="265"/>
      <c r="H2" s="265"/>
      <c r="R2" s="263"/>
      <c r="Z2" s="263"/>
    </row>
    <row r="3" spans="1:57" ht="26.1" customHeight="1">
      <c r="A3" s="266" t="s">
        <v>66</v>
      </c>
      <c r="R3" s="263"/>
      <c r="Z3" s="263"/>
      <c r="AM3" s="269"/>
      <c r="AN3" s="269"/>
      <c r="AO3" s="269"/>
      <c r="AP3" s="269"/>
    </row>
    <row r="4" spans="1:57" ht="26.1" customHeight="1">
      <c r="A4" s="267" t="s">
        <v>70</v>
      </c>
      <c r="B4" s="268">
        <v>14</v>
      </c>
      <c r="C4" s="269" t="s">
        <v>17</v>
      </c>
      <c r="D4" s="263" t="s">
        <v>376</v>
      </c>
      <c r="E4" s="263" t="s">
        <v>71</v>
      </c>
      <c r="F4" s="270">
        <v>1</v>
      </c>
      <c r="R4" s="263"/>
      <c r="Z4" s="263"/>
      <c r="AK4" s="263" t="s">
        <v>76</v>
      </c>
      <c r="AL4" s="263" t="s">
        <v>77</v>
      </c>
      <c r="AM4" s="263" t="s">
        <v>78</v>
      </c>
      <c r="AN4" s="263" t="s">
        <v>79</v>
      </c>
      <c r="AO4" s="263" t="s">
        <v>80</v>
      </c>
      <c r="AP4" s="263" t="s">
        <v>81</v>
      </c>
      <c r="AQ4" s="263" t="s">
        <v>86</v>
      </c>
      <c r="AR4" s="263" t="s">
        <v>87</v>
      </c>
      <c r="AS4" s="263" t="s">
        <v>88</v>
      </c>
      <c r="AT4" s="263" t="s">
        <v>89</v>
      </c>
      <c r="AU4" s="263" t="s">
        <v>90</v>
      </c>
      <c r="AV4" s="263" t="s">
        <v>91</v>
      </c>
    </row>
    <row r="5" spans="1:57" ht="26.1" customHeight="1">
      <c r="A5" s="267" t="s">
        <v>92</v>
      </c>
      <c r="B5" s="268">
        <v>22.26</v>
      </c>
      <c r="C5" s="269" t="s">
        <v>17</v>
      </c>
      <c r="D5" s="263" t="s">
        <v>376</v>
      </c>
      <c r="R5" s="263"/>
      <c r="Z5" s="263"/>
      <c r="AK5" s="263">
        <f>ROUND(AL5*1000*0.00000785*10/1000,4)</f>
        <v>0</v>
      </c>
      <c r="AL5" s="263">
        <f t="shared" ref="AL5:AL12" si="0">AC5*AD5-(AC5-2*AE5)*(AD5-2*AE5)</f>
        <v>0</v>
      </c>
      <c r="AM5" s="263">
        <f t="shared" ref="AM5:AM12" si="1">ROUND((AD5*AC5^3-(AD5-2*AE5)*(AC5-2*AE5)^3)/12,2)</f>
        <v>0</v>
      </c>
      <c r="AN5" s="263">
        <f t="shared" ref="AN5:AN12" si="2">ROUND((AD5^3*AC5-(AD5-2*AE5)^3*(AC5-2*AE5))/12,2)</f>
        <v>0</v>
      </c>
      <c r="AO5" s="263" t="e">
        <f t="shared" ref="AO5:AO12" si="3">ROUND((AD5*AC5^3-(AD5-2*AE5)*(AC5-2*AE5)^3)/6/AC5,2)</f>
        <v>#DIV/0!</v>
      </c>
      <c r="AP5" s="263" t="e">
        <f t="shared" ref="AP5:AP12" si="4">ROUND((AD5^3*AC5-(AD5-2*AE5)^3*(AC5-2*AE5))/6/AD5,2)</f>
        <v>#DIV/0!</v>
      </c>
      <c r="AQ5" s="263" t="e">
        <f>0.563/(AC5-AE5)/AE5</f>
        <v>#DIV/0!</v>
      </c>
      <c r="AR5" s="263" t="e">
        <f>0.5*AC5/AE5/(AC5-AE5)^3</f>
        <v>#DIV/0!</v>
      </c>
      <c r="AS5" s="263" t="str">
        <f>MID(AB5,2,3)</f>
        <v/>
      </c>
      <c r="AT5" s="263" t="e">
        <f>(AC5-AE5*2-AF5*2)/AE5</f>
        <v>#DIV/0!</v>
      </c>
      <c r="AU5" s="263" t="e">
        <f>ROUND(IF(AT5&lt;660/SQRT(AS5/1.111),AS5/1.111,(1-(SQRT((AS5/1.111))*AT5)*0.000448)*1.42*((AS5/1.111))),0)</f>
        <v>#DIV/0!</v>
      </c>
      <c r="AV5" s="263">
        <f>AD5/1000*$B$191</f>
        <v>0</v>
      </c>
    </row>
    <row r="6" spans="1:57" ht="26.1" customHeight="1">
      <c r="A6" s="267" t="s">
        <v>377</v>
      </c>
      <c r="B6" s="268">
        <v>0.3</v>
      </c>
      <c r="C6" s="269" t="s">
        <v>339</v>
      </c>
      <c r="R6" s="263"/>
      <c r="Z6" s="263"/>
    </row>
    <row r="7" spans="1:57" ht="26.1" customHeight="1">
      <c r="A7" s="267" t="s">
        <v>94</v>
      </c>
      <c r="B7" s="268">
        <v>64</v>
      </c>
      <c r="C7" s="271" t="s">
        <v>95</v>
      </c>
      <c r="D7" s="397" t="s">
        <v>378</v>
      </c>
      <c r="E7" s="397"/>
      <c r="R7" s="263"/>
      <c r="Z7" s="263"/>
      <c r="AK7" s="263">
        <f t="shared" ref="AK7:AK12" si="5">ROUND(AL7*1000*0.00000785*10/1000,4)</f>
        <v>0</v>
      </c>
      <c r="AL7" s="263">
        <f t="shared" si="0"/>
        <v>0</v>
      </c>
      <c r="AM7" s="263">
        <f t="shared" si="1"/>
        <v>0</v>
      </c>
      <c r="AN7" s="263">
        <f t="shared" si="2"/>
        <v>0</v>
      </c>
      <c r="AO7" s="263" t="e">
        <f t="shared" si="3"/>
        <v>#DIV/0!</v>
      </c>
      <c r="AP7" s="263" t="e">
        <f t="shared" si="4"/>
        <v>#DIV/0!</v>
      </c>
      <c r="AQ7" s="263" t="e">
        <f t="shared" ref="AQ7:AQ12" si="6">0.563/(AC7-AE7)/AE7</f>
        <v>#DIV/0!</v>
      </c>
      <c r="AR7" s="263" t="e">
        <f t="shared" ref="AR7:AR12" si="7">0.5*AC7/AE7/(AC7-AE7)^3</f>
        <v>#DIV/0!</v>
      </c>
      <c r="AS7" s="263" t="str">
        <f t="shared" ref="AS7:AS12" si="8">MID(AB7,2,3)</f>
        <v/>
      </c>
      <c r="AT7" s="263" t="e">
        <f t="shared" ref="AT7:AT12" si="9">(AC7-AE7*2-AF7*2)/AE7</f>
        <v>#DIV/0!</v>
      </c>
      <c r="AU7" s="263" t="e">
        <f t="shared" ref="AU7:AU12" si="10">ROUND(IF(AT7&lt;660/SQRT(AS7/1.111),AS7/1.111,(1-(SQRT((AS7/1.111))*AT7)*0.000448)*1.42*((AS7/1.111))),0)</f>
        <v>#DIV/0!</v>
      </c>
      <c r="AV7" s="263">
        <f>AD7/1000*$B$191</f>
        <v>0</v>
      </c>
    </row>
    <row r="8" spans="1:57" ht="26.1" customHeight="1">
      <c r="A8" s="267" t="s">
        <v>97</v>
      </c>
      <c r="B8" s="268">
        <v>1.133</v>
      </c>
      <c r="C8" s="271" t="s">
        <v>36</v>
      </c>
      <c r="R8" s="263"/>
      <c r="Z8" s="263"/>
      <c r="AK8" s="263">
        <f t="shared" si="5"/>
        <v>0</v>
      </c>
      <c r="AL8" s="263">
        <f t="shared" si="0"/>
        <v>0</v>
      </c>
      <c r="AM8" s="263">
        <f t="shared" si="1"/>
        <v>0</v>
      </c>
      <c r="AN8" s="263">
        <f t="shared" si="2"/>
        <v>0</v>
      </c>
      <c r="AO8" s="263" t="e">
        <f t="shared" si="3"/>
        <v>#DIV/0!</v>
      </c>
      <c r="AP8" s="263" t="e">
        <f t="shared" si="4"/>
        <v>#DIV/0!</v>
      </c>
      <c r="AQ8" s="263" t="e">
        <f t="shared" si="6"/>
        <v>#DIV/0!</v>
      </c>
      <c r="AR8" s="263" t="e">
        <f t="shared" si="7"/>
        <v>#DIV/0!</v>
      </c>
      <c r="AS8" s="263" t="str">
        <f t="shared" si="8"/>
        <v/>
      </c>
      <c r="AT8" s="263" t="e">
        <f t="shared" si="9"/>
        <v>#DIV/0!</v>
      </c>
      <c r="AU8" s="263" t="e">
        <f t="shared" si="10"/>
        <v>#DIV/0!</v>
      </c>
      <c r="AV8" s="263">
        <f>AD8/1000*$B$191</f>
        <v>0</v>
      </c>
    </row>
    <row r="9" spans="1:57" ht="26.1" customHeight="1">
      <c r="A9" s="267" t="s">
        <v>98</v>
      </c>
      <c r="B9" s="268">
        <v>4.5119999999999996</v>
      </c>
      <c r="C9" s="271" t="s">
        <v>36</v>
      </c>
      <c r="D9" s="397" t="s">
        <v>379</v>
      </c>
      <c r="E9" s="397"/>
      <c r="R9" s="263"/>
      <c r="Z9" s="263"/>
      <c r="AK9" s="263">
        <f t="shared" si="5"/>
        <v>0</v>
      </c>
      <c r="AL9" s="263">
        <f t="shared" si="0"/>
        <v>0</v>
      </c>
      <c r="AM9" s="263">
        <f t="shared" si="1"/>
        <v>0</v>
      </c>
      <c r="AN9" s="263">
        <f t="shared" si="2"/>
        <v>0</v>
      </c>
      <c r="AO9" s="263" t="e">
        <f t="shared" si="3"/>
        <v>#DIV/0!</v>
      </c>
      <c r="AP9" s="263" t="e">
        <f t="shared" si="4"/>
        <v>#DIV/0!</v>
      </c>
      <c r="AQ9" s="263" t="e">
        <f t="shared" si="6"/>
        <v>#DIV/0!</v>
      </c>
      <c r="AR9" s="263" t="e">
        <f t="shared" si="7"/>
        <v>#DIV/0!</v>
      </c>
      <c r="AS9" s="263" t="str">
        <f t="shared" si="8"/>
        <v/>
      </c>
      <c r="AT9" s="263" t="e">
        <f t="shared" si="9"/>
        <v>#DIV/0!</v>
      </c>
      <c r="AU9" s="263" t="e">
        <f t="shared" si="10"/>
        <v>#DIV/0!</v>
      </c>
      <c r="AV9" s="263">
        <f>AD9/1000*$B$191</f>
        <v>0</v>
      </c>
    </row>
    <row r="10" spans="1:57" ht="26.1" customHeight="1">
      <c r="A10" s="267" t="s">
        <v>99</v>
      </c>
      <c r="B10" s="272">
        <f>B8*B9</f>
        <v>5.1120960000000002</v>
      </c>
      <c r="C10" s="271" t="s">
        <v>100</v>
      </c>
      <c r="R10" s="263"/>
      <c r="Z10" s="263"/>
      <c r="AK10" s="263">
        <f t="shared" si="5"/>
        <v>0</v>
      </c>
      <c r="AL10" s="263">
        <f t="shared" si="0"/>
        <v>0</v>
      </c>
      <c r="AM10" s="263">
        <f t="shared" si="1"/>
        <v>0</v>
      </c>
      <c r="AN10" s="263">
        <f t="shared" si="2"/>
        <v>0</v>
      </c>
      <c r="AO10" s="263" t="e">
        <f t="shared" si="3"/>
        <v>#DIV/0!</v>
      </c>
      <c r="AP10" s="263" t="e">
        <f t="shared" si="4"/>
        <v>#DIV/0!</v>
      </c>
      <c r="AQ10" s="263" t="e">
        <f t="shared" si="6"/>
        <v>#DIV/0!</v>
      </c>
      <c r="AR10" s="263" t="e">
        <f t="shared" si="7"/>
        <v>#DIV/0!</v>
      </c>
      <c r="AS10" s="263" t="str">
        <f t="shared" si="8"/>
        <v/>
      </c>
      <c r="AT10" s="263" t="e">
        <f t="shared" si="9"/>
        <v>#DIV/0!</v>
      </c>
      <c r="AU10" s="263" t="e">
        <f t="shared" si="10"/>
        <v>#DIV/0!</v>
      </c>
      <c r="AV10" s="263">
        <f>AD10/1000*$B$191</f>
        <v>0</v>
      </c>
    </row>
    <row r="11" spans="1:57" ht="26.1" customHeight="1">
      <c r="A11" s="267" t="s">
        <v>380</v>
      </c>
      <c r="B11" s="272">
        <v>1</v>
      </c>
      <c r="C11" s="271"/>
      <c r="R11" s="263"/>
      <c r="Z11" s="263"/>
    </row>
    <row r="12" spans="1:57" ht="26.1" customHeight="1">
      <c r="A12" s="266" t="s">
        <v>381</v>
      </c>
      <c r="B12" s="271"/>
      <c r="C12" s="271"/>
      <c r="R12" s="263"/>
      <c r="Z12" s="263"/>
      <c r="AK12" s="263">
        <f t="shared" si="5"/>
        <v>0</v>
      </c>
      <c r="AL12" s="263">
        <f t="shared" si="0"/>
        <v>0</v>
      </c>
      <c r="AM12" s="263">
        <f t="shared" si="1"/>
        <v>0</v>
      </c>
      <c r="AN12" s="263">
        <f t="shared" si="2"/>
        <v>0</v>
      </c>
      <c r="AO12" s="263" t="e">
        <f t="shared" si="3"/>
        <v>#DIV/0!</v>
      </c>
      <c r="AP12" s="263" t="e">
        <f t="shared" si="4"/>
        <v>#DIV/0!</v>
      </c>
      <c r="AQ12" s="263" t="e">
        <f t="shared" si="6"/>
        <v>#DIV/0!</v>
      </c>
      <c r="AR12" s="263" t="e">
        <f t="shared" si="7"/>
        <v>#DIV/0!</v>
      </c>
      <c r="AS12" s="263" t="str">
        <f t="shared" si="8"/>
        <v/>
      </c>
      <c r="AT12" s="263" t="e">
        <f t="shared" si="9"/>
        <v>#DIV/0!</v>
      </c>
      <c r="AU12" s="263" t="e">
        <f t="shared" si="10"/>
        <v>#DIV/0!</v>
      </c>
      <c r="AV12" s="263">
        <f>AD12/1000*$B$191</f>
        <v>0</v>
      </c>
    </row>
    <row r="13" spans="1:57" ht="26.1" customHeight="1">
      <c r="A13" s="273" t="s">
        <v>382</v>
      </c>
      <c r="R13" s="263"/>
      <c r="Z13" s="263"/>
      <c r="AK13" s="263">
        <f t="shared" ref="AK13:AK17" si="11">ROUND((AD13+2*(AE13-2*AF13)+AC13*2)*AF13*0.00000785*1000*10/1000,2)</f>
        <v>0</v>
      </c>
      <c r="AL13" s="263">
        <f t="shared" ref="AL13:AL17" si="12">(AD13+2*(AE13-2*AF13)+AC13*2)*AF13</f>
        <v>0</v>
      </c>
      <c r="AM13" s="263" t="e">
        <f t="shared" ref="AM13:AM17" si="13">ROUND(((AD13-2*AF13)*AF13^3/12+(AD13-2*AF13)*AF13*(AE13-AX13-AF13/2)^2)+2*((AC13-AF13)*AF13^3/12+(AC13-AF13)*AF13*(AX13-AF13/2)^2)+2*(AF13*AE13^3/12+AE13*AF13*(AX13-AE13/2)^2),2)</f>
        <v>#DIV/0!</v>
      </c>
      <c r="AN13" s="263">
        <f t="shared" ref="AN13:AN17" si="14">ROUND(2*(AE13*AF13^3/12+AE13*AF13*(AD13/2-AF13/2)^2)+(AF13*(AD13-2*AF13)^3/12)+2*(AF13*(AC13-AF13)^3/12+(AC13-AF13)*AF13*(AD13/2+(AC13-AF13)/2)^2),2)</f>
        <v>0</v>
      </c>
      <c r="AO13" s="263" t="e">
        <f t="shared" ref="AO13:AO17" si="15">ROUND(AM13/AZ13,2)</f>
        <v>#DIV/0!</v>
      </c>
      <c r="AP13" s="263" t="e">
        <f t="shared" ref="AP13:AP17" si="16">ROUND(AN13/(AD13*0.5+(AC13-AF13)),2)</f>
        <v>#DIV/0!</v>
      </c>
      <c r="AR13" s="263">
        <f t="shared" ref="AR13:AR17" si="17">(AD13-2*AF13)*AF13</f>
        <v>0</v>
      </c>
      <c r="AS13" s="263">
        <f t="shared" ref="AS13:AS17" si="18">(AC13-AF13)*AF13*2</f>
        <v>0</v>
      </c>
      <c r="AT13" s="263">
        <f t="shared" ref="AT13:AT17" si="19">AE13*AF13</f>
        <v>0</v>
      </c>
      <c r="AU13" s="263">
        <f t="shared" ref="AU13:AU17" si="20">AE13-AF13/2</f>
        <v>0</v>
      </c>
      <c r="AV13" s="263">
        <f t="shared" ref="AV13:AV17" si="21">AF13/2</f>
        <v>0</v>
      </c>
      <c r="AW13" s="263">
        <f t="shared" ref="AW13:AW17" si="22">AE13/2</f>
        <v>0</v>
      </c>
      <c r="AX13" s="263" t="e">
        <f t="shared" ref="AX13:AX17" si="23">(AR13*AU13+AS13*AV13+AT13*AW13)/(AR13+AS13+AT13)</f>
        <v>#DIV/0!</v>
      </c>
      <c r="AY13" s="263" t="e">
        <f t="shared" ref="AY13:AY17" si="24">AE13-AX13</f>
        <v>#DIV/0!</v>
      </c>
      <c r="AZ13" s="263" t="e">
        <f t="shared" ref="AZ13:AZ17" si="25">MAX(AX13:AY13)*0.97</f>
        <v>#DIV/0!</v>
      </c>
      <c r="BD13" s="287">
        <f t="shared" ref="BD13:BD17" si="26">IF(L14="6边",30,IF(L14="8边",22.5,0))</f>
        <v>0</v>
      </c>
      <c r="BE13" s="287">
        <f t="shared" ref="BE13:BE17" si="27">IF(L14="六边",0.577*M14*SIN(RADIANS(BD13)),0.541*M14*SIN(RADIANS(BD13)))</f>
        <v>0</v>
      </c>
    </row>
    <row r="14" spans="1:57" ht="26.1" customHeight="1">
      <c r="D14" s="263" t="s">
        <v>183</v>
      </c>
      <c r="E14" s="274" t="s">
        <v>184</v>
      </c>
      <c r="R14" s="263"/>
      <c r="Z14" s="263"/>
      <c r="AK14" s="263">
        <f t="shared" si="11"/>
        <v>0</v>
      </c>
      <c r="AL14" s="263">
        <f t="shared" si="12"/>
        <v>0</v>
      </c>
      <c r="AM14" s="263" t="e">
        <f t="shared" si="13"/>
        <v>#DIV/0!</v>
      </c>
      <c r="AN14" s="263">
        <f t="shared" si="14"/>
        <v>0</v>
      </c>
      <c r="AO14" s="263" t="e">
        <f t="shared" si="15"/>
        <v>#DIV/0!</v>
      </c>
      <c r="AP14" s="263" t="e">
        <f t="shared" si="16"/>
        <v>#DIV/0!</v>
      </c>
      <c r="AR14" s="263">
        <f t="shared" si="17"/>
        <v>0</v>
      </c>
      <c r="AS14" s="263">
        <f t="shared" si="18"/>
        <v>0</v>
      </c>
      <c r="AT14" s="263">
        <f t="shared" si="19"/>
        <v>0</v>
      </c>
      <c r="AU14" s="263">
        <f t="shared" si="20"/>
        <v>0</v>
      </c>
      <c r="AV14" s="263">
        <f t="shared" si="21"/>
        <v>0</v>
      </c>
      <c r="AW14" s="263">
        <f t="shared" si="22"/>
        <v>0</v>
      </c>
      <c r="AX14" s="263" t="e">
        <f t="shared" si="23"/>
        <v>#DIV/0!</v>
      </c>
      <c r="AY14" s="263" t="e">
        <f t="shared" si="24"/>
        <v>#DIV/0!</v>
      </c>
      <c r="AZ14" s="263" t="e">
        <f t="shared" si="25"/>
        <v>#DIV/0!</v>
      </c>
      <c r="BD14" s="287">
        <f t="shared" si="26"/>
        <v>0</v>
      </c>
      <c r="BE14" s="287">
        <f t="shared" si="27"/>
        <v>0</v>
      </c>
    </row>
    <row r="15" spans="1:57" ht="26.1" customHeight="1">
      <c r="D15" s="263" t="s">
        <v>187</v>
      </c>
      <c r="E15" s="274" t="s">
        <v>262</v>
      </c>
      <c r="R15" s="263"/>
      <c r="Z15" s="263"/>
      <c r="AK15" s="263">
        <f t="shared" si="11"/>
        <v>0</v>
      </c>
      <c r="AL15" s="263">
        <f t="shared" si="12"/>
        <v>0</v>
      </c>
      <c r="AM15" s="263" t="e">
        <f t="shared" si="13"/>
        <v>#DIV/0!</v>
      </c>
      <c r="AN15" s="263">
        <f t="shared" si="14"/>
        <v>0</v>
      </c>
      <c r="AO15" s="263" t="e">
        <f t="shared" si="15"/>
        <v>#DIV/0!</v>
      </c>
      <c r="AP15" s="263" t="e">
        <f t="shared" si="16"/>
        <v>#DIV/0!</v>
      </c>
      <c r="AR15" s="263">
        <f t="shared" si="17"/>
        <v>0</v>
      </c>
      <c r="AS15" s="263">
        <f t="shared" si="18"/>
        <v>0</v>
      </c>
      <c r="AT15" s="263">
        <f t="shared" si="19"/>
        <v>0</v>
      </c>
      <c r="AU15" s="263">
        <f t="shared" si="20"/>
        <v>0</v>
      </c>
      <c r="AV15" s="263">
        <f t="shared" si="21"/>
        <v>0</v>
      </c>
      <c r="AW15" s="263">
        <f t="shared" si="22"/>
        <v>0</v>
      </c>
      <c r="AX15" s="263" t="e">
        <f t="shared" si="23"/>
        <v>#DIV/0!</v>
      </c>
      <c r="AY15" s="263" t="e">
        <f t="shared" si="24"/>
        <v>#DIV/0!</v>
      </c>
      <c r="AZ15" s="263" t="e">
        <f t="shared" si="25"/>
        <v>#DIV/0!</v>
      </c>
      <c r="BD15" s="287">
        <f t="shared" si="26"/>
        <v>0</v>
      </c>
      <c r="BE15" s="287">
        <f t="shared" si="27"/>
        <v>0</v>
      </c>
    </row>
    <row r="16" spans="1:57" ht="26.1" customHeight="1">
      <c r="A16" s="275" t="s">
        <v>383</v>
      </c>
      <c r="B16" s="274">
        <v>5</v>
      </c>
      <c r="C16" s="274">
        <v>10</v>
      </c>
      <c r="D16" s="274">
        <v>20</v>
      </c>
      <c r="E16" s="274">
        <v>30</v>
      </c>
      <c r="F16" s="274">
        <v>35</v>
      </c>
      <c r="G16" s="274">
        <v>40</v>
      </c>
      <c r="H16" s="274">
        <v>45</v>
      </c>
      <c r="R16" s="263"/>
      <c r="Z16" s="263"/>
      <c r="AK16" s="263">
        <f t="shared" si="11"/>
        <v>0</v>
      </c>
      <c r="AL16" s="263">
        <f t="shared" si="12"/>
        <v>0</v>
      </c>
      <c r="AM16" s="263" t="e">
        <f t="shared" si="13"/>
        <v>#DIV/0!</v>
      </c>
      <c r="AN16" s="263">
        <f t="shared" si="14"/>
        <v>0</v>
      </c>
      <c r="AO16" s="263" t="e">
        <f t="shared" si="15"/>
        <v>#DIV/0!</v>
      </c>
      <c r="AP16" s="263" t="e">
        <f t="shared" si="16"/>
        <v>#DIV/0!</v>
      </c>
      <c r="AR16" s="263">
        <f t="shared" si="17"/>
        <v>0</v>
      </c>
      <c r="AS16" s="263">
        <f t="shared" si="18"/>
        <v>0</v>
      </c>
      <c r="AT16" s="263">
        <f t="shared" si="19"/>
        <v>0</v>
      </c>
      <c r="AU16" s="263">
        <f t="shared" si="20"/>
        <v>0</v>
      </c>
      <c r="AV16" s="263">
        <f t="shared" si="21"/>
        <v>0</v>
      </c>
      <c r="AW16" s="263">
        <f t="shared" si="22"/>
        <v>0</v>
      </c>
      <c r="AX16" s="263" t="e">
        <f t="shared" si="23"/>
        <v>#DIV/0!</v>
      </c>
      <c r="AY16" s="263" t="e">
        <f t="shared" si="24"/>
        <v>#DIV/0!</v>
      </c>
      <c r="AZ16" s="263" t="e">
        <f t="shared" si="25"/>
        <v>#DIV/0!</v>
      </c>
      <c r="BD16" s="287">
        <f t="shared" si="26"/>
        <v>0</v>
      </c>
      <c r="BE16" s="287">
        <f t="shared" si="27"/>
        <v>0</v>
      </c>
    </row>
    <row r="17" spans="1:57" ht="26.1" customHeight="1">
      <c r="A17" s="276" t="s">
        <v>190</v>
      </c>
      <c r="B17" s="274" t="s">
        <v>343</v>
      </c>
      <c r="C17" s="274" t="s">
        <v>344</v>
      </c>
      <c r="D17" s="274" t="s">
        <v>344</v>
      </c>
      <c r="E17" s="274" t="s">
        <v>344</v>
      </c>
      <c r="F17" s="274" t="s">
        <v>344</v>
      </c>
      <c r="G17" s="274" t="s">
        <v>344</v>
      </c>
      <c r="H17" s="274" t="s">
        <v>344</v>
      </c>
      <c r="R17" s="263"/>
      <c r="Z17" s="263"/>
      <c r="AK17" s="263">
        <f t="shared" si="11"/>
        <v>0</v>
      </c>
      <c r="AL17" s="263">
        <f t="shared" si="12"/>
        <v>0</v>
      </c>
      <c r="AM17" s="263" t="e">
        <f t="shared" si="13"/>
        <v>#DIV/0!</v>
      </c>
      <c r="AN17" s="263">
        <f t="shared" si="14"/>
        <v>0</v>
      </c>
      <c r="AO17" s="263" t="e">
        <f t="shared" si="15"/>
        <v>#DIV/0!</v>
      </c>
      <c r="AP17" s="263" t="e">
        <f t="shared" si="16"/>
        <v>#DIV/0!</v>
      </c>
      <c r="AR17" s="263">
        <f t="shared" si="17"/>
        <v>0</v>
      </c>
      <c r="AS17" s="263">
        <f t="shared" si="18"/>
        <v>0</v>
      </c>
      <c r="AT17" s="263">
        <f t="shared" si="19"/>
        <v>0</v>
      </c>
      <c r="AU17" s="263">
        <f t="shared" si="20"/>
        <v>0</v>
      </c>
      <c r="AV17" s="263">
        <f t="shared" si="21"/>
        <v>0</v>
      </c>
      <c r="AW17" s="263">
        <f t="shared" si="22"/>
        <v>0</v>
      </c>
      <c r="AX17" s="263" t="e">
        <f t="shared" si="23"/>
        <v>#DIV/0!</v>
      </c>
      <c r="AY17" s="263" t="e">
        <f t="shared" si="24"/>
        <v>#DIV/0!</v>
      </c>
      <c r="AZ17" s="263" t="e">
        <f t="shared" si="25"/>
        <v>#DIV/0!</v>
      </c>
      <c r="BD17" s="287">
        <f t="shared" si="26"/>
        <v>0</v>
      </c>
      <c r="BE17" s="287">
        <f t="shared" si="27"/>
        <v>0</v>
      </c>
    </row>
    <row r="18" spans="1:57" ht="26.1" customHeight="1">
      <c r="A18" s="276" t="s">
        <v>193</v>
      </c>
      <c r="B18" s="277">
        <f>IF(B17="运行模式",$B$4,ROUND($B$5*SQRT($F$4),2))</f>
        <v>22.26</v>
      </c>
      <c r="C18" s="277">
        <f t="shared" ref="C18:H18" si="28">IF(C17="运行模式",$B$4,ROUND($B$5*SQRT($F$4),2))</f>
        <v>14</v>
      </c>
      <c r="D18" s="277">
        <f t="shared" si="28"/>
        <v>14</v>
      </c>
      <c r="E18" s="277">
        <f t="shared" si="28"/>
        <v>14</v>
      </c>
      <c r="F18" s="277">
        <f t="shared" si="28"/>
        <v>14</v>
      </c>
      <c r="G18" s="277">
        <f t="shared" si="28"/>
        <v>14</v>
      </c>
      <c r="H18" s="277">
        <f t="shared" si="28"/>
        <v>14</v>
      </c>
      <c r="R18" s="263"/>
      <c r="Z18" s="263"/>
    </row>
    <row r="19" spans="1:57" ht="26.1" customHeight="1">
      <c r="A19" s="276" t="s">
        <v>194</v>
      </c>
      <c r="B19" s="277">
        <f>ROUND(B18^2/1600,3)</f>
        <v>0.31</v>
      </c>
      <c r="C19" s="277">
        <f t="shared" ref="C19:H19" si="29">ROUND(C18^2/1600,3)</f>
        <v>0.123</v>
      </c>
      <c r="D19" s="277">
        <f t="shared" si="29"/>
        <v>0.123</v>
      </c>
      <c r="E19" s="277">
        <f t="shared" si="29"/>
        <v>0.123</v>
      </c>
      <c r="F19" s="277">
        <f t="shared" si="29"/>
        <v>0.123</v>
      </c>
      <c r="G19" s="277">
        <f t="shared" si="29"/>
        <v>0.123</v>
      </c>
      <c r="H19" s="277">
        <f t="shared" si="29"/>
        <v>0.123</v>
      </c>
      <c r="R19" s="263"/>
      <c r="Z19" s="263"/>
    </row>
    <row r="20" spans="1:57" ht="26.1" customHeight="1">
      <c r="A20" s="276" t="s">
        <v>345</v>
      </c>
      <c r="B20" s="277">
        <f t="shared" ref="B20:H20" si="30">IF($E$15="1P",VLOOKUP(B16,$T$58:$Z$70,2,FALSE),IF($E$15="2P",VLOOKUP(B16,$T$74:$Z$86,2,FALSE)))</f>
        <v>0.27</v>
      </c>
      <c r="C20" s="277">
        <f t="shared" si="30"/>
        <v>0.47</v>
      </c>
      <c r="D20" s="277">
        <f t="shared" si="30"/>
        <v>0.73</v>
      </c>
      <c r="E20" s="277">
        <f t="shared" si="30"/>
        <v>0.9</v>
      </c>
      <c r="F20" s="277">
        <f t="shared" si="30"/>
        <v>0.93</v>
      </c>
      <c r="G20" s="277">
        <f t="shared" si="30"/>
        <v>0.92</v>
      </c>
      <c r="H20" s="277">
        <f t="shared" si="30"/>
        <v>1.08</v>
      </c>
      <c r="R20" s="263"/>
      <c r="Z20" s="263"/>
    </row>
    <row r="21" spans="1:57" ht="26.1" customHeight="1">
      <c r="A21" s="276" t="s">
        <v>346</v>
      </c>
      <c r="B21" s="277">
        <f t="shared" ref="B21:H21" si="31">IF($E$15="1P",VLOOKUP(B16,$T$58:$Z$70,3,FALSE),IF($E$15="2P",VLOOKUP(B16,$T$74:$Z$86,3,FALSE)))</f>
        <v>0.69</v>
      </c>
      <c r="C21" s="277">
        <f t="shared" si="31"/>
        <v>1.18</v>
      </c>
      <c r="D21" s="277">
        <f t="shared" si="31"/>
        <v>1.41</v>
      </c>
      <c r="E21" s="277">
        <f t="shared" si="31"/>
        <v>1.66</v>
      </c>
      <c r="F21" s="277">
        <f t="shared" si="31"/>
        <v>1.66</v>
      </c>
      <c r="G21" s="277">
        <f t="shared" si="31"/>
        <v>1.66</v>
      </c>
      <c r="H21" s="277">
        <f t="shared" si="31"/>
        <v>1.66</v>
      </c>
      <c r="R21" s="263"/>
      <c r="Z21" s="263"/>
    </row>
    <row r="22" spans="1:57" ht="26.1" customHeight="1">
      <c r="A22" s="276" t="s">
        <v>361</v>
      </c>
      <c r="B22" s="277">
        <f>IF(B16&lt;25,1,VLOOKUP(B16,$L$23:$M$27,2,FALSE))</f>
        <v>1</v>
      </c>
      <c r="C22" s="277">
        <f t="shared" ref="C22:H22" si="32">IF(C16&lt;25,1,VLOOKUP(C16,$L$23:$M$27,2,FALSE))</f>
        <v>1</v>
      </c>
      <c r="D22" s="277">
        <f t="shared" si="32"/>
        <v>1</v>
      </c>
      <c r="E22" s="277">
        <f t="shared" si="32"/>
        <v>0.8</v>
      </c>
      <c r="F22" s="277">
        <f t="shared" si="32"/>
        <v>0.6</v>
      </c>
      <c r="G22" s="277">
        <f t="shared" si="32"/>
        <v>0.4</v>
      </c>
      <c r="H22" s="277">
        <f t="shared" si="32"/>
        <v>0.2</v>
      </c>
      <c r="L22" s="263" t="s">
        <v>364</v>
      </c>
      <c r="M22" s="263" t="s">
        <v>365</v>
      </c>
      <c r="R22" s="263"/>
      <c r="Z22" s="263"/>
    </row>
    <row r="23" spans="1:57" ht="26.1" customHeight="1">
      <c r="A23" s="278" t="s">
        <v>203</v>
      </c>
      <c r="B23" s="277">
        <f t="shared" ref="B23:H23" si="33">ABS((B20-B21)/8)</f>
        <v>5.2499999999999998E-2</v>
      </c>
      <c r="C23" s="277">
        <f t="shared" si="33"/>
        <v>8.8749999999999996E-2</v>
      </c>
      <c r="D23" s="277">
        <f t="shared" si="33"/>
        <v>8.5000000000000006E-2</v>
      </c>
      <c r="E23" s="277">
        <f t="shared" si="33"/>
        <v>9.5000000000000001E-2</v>
      </c>
      <c r="F23" s="277">
        <f t="shared" si="33"/>
        <v>9.1249999999999998E-2</v>
      </c>
      <c r="G23" s="277">
        <f t="shared" si="33"/>
        <v>9.2499999999999999E-2</v>
      </c>
      <c r="H23" s="277">
        <f t="shared" si="33"/>
        <v>7.2499999999999995E-2</v>
      </c>
      <c r="L23" s="263">
        <v>25</v>
      </c>
      <c r="M23" s="263">
        <v>1</v>
      </c>
      <c r="R23" s="263"/>
      <c r="Z23" s="263"/>
    </row>
    <row r="24" spans="1:57" ht="26.1" customHeight="1">
      <c r="A24" s="278" t="s">
        <v>204</v>
      </c>
      <c r="B24" s="277">
        <f>B19*B20*$B$11</f>
        <v>8.3699999999999997E-2</v>
      </c>
      <c r="C24" s="277">
        <f t="shared" ref="C24:H24" si="34">C19*C20*$B$11</f>
        <v>5.781E-2</v>
      </c>
      <c r="D24" s="277">
        <f t="shared" si="34"/>
        <v>8.9789999999999995E-2</v>
      </c>
      <c r="E24" s="277">
        <f t="shared" si="34"/>
        <v>0.11070000000000001</v>
      </c>
      <c r="F24" s="277">
        <f t="shared" si="34"/>
        <v>0.11439000000000001</v>
      </c>
      <c r="G24" s="277">
        <f t="shared" si="34"/>
        <v>0.11316</v>
      </c>
      <c r="H24" s="277">
        <f t="shared" si="34"/>
        <v>0.13284000000000001</v>
      </c>
      <c r="L24" s="263">
        <v>30</v>
      </c>
      <c r="M24" s="263">
        <v>0.8</v>
      </c>
      <c r="R24" s="263"/>
      <c r="Z24" s="263"/>
    </row>
    <row r="25" spans="1:57" ht="26.1" customHeight="1">
      <c r="A25" s="279" t="s">
        <v>384</v>
      </c>
      <c r="B25" s="277">
        <f>B19*B21*$B$11</f>
        <v>0.21390000000000001</v>
      </c>
      <c r="C25" s="277">
        <f t="shared" ref="C25:H25" si="35">C19*C21*$B$11</f>
        <v>0.14513999999999999</v>
      </c>
      <c r="D25" s="277">
        <f t="shared" si="35"/>
        <v>0.17343</v>
      </c>
      <c r="E25" s="277">
        <f t="shared" si="35"/>
        <v>0.20418</v>
      </c>
      <c r="F25" s="277">
        <f t="shared" si="35"/>
        <v>0.20418</v>
      </c>
      <c r="G25" s="277">
        <f t="shared" si="35"/>
        <v>0.20418</v>
      </c>
      <c r="H25" s="277">
        <f t="shared" si="35"/>
        <v>0.20418</v>
      </c>
      <c r="L25" s="263">
        <v>35</v>
      </c>
      <c r="M25" s="263">
        <v>0.6</v>
      </c>
      <c r="R25" s="263"/>
      <c r="Z25" s="263"/>
    </row>
    <row r="26" spans="1:57" ht="26.1" customHeight="1">
      <c r="A26" s="279" t="s">
        <v>385</v>
      </c>
      <c r="B26" s="277">
        <f>$B$9*0.5</f>
        <v>2.2559999999999998</v>
      </c>
      <c r="C26" s="277">
        <f t="shared" ref="C26:H26" si="36">$B$9*0.5</f>
        <v>2.2559999999999998</v>
      </c>
      <c r="D26" s="277">
        <f t="shared" si="36"/>
        <v>2.2559999999999998</v>
      </c>
      <c r="E26" s="277">
        <f t="shared" si="36"/>
        <v>2.2559999999999998</v>
      </c>
      <c r="F26" s="277">
        <f t="shared" si="36"/>
        <v>2.2559999999999998</v>
      </c>
      <c r="G26" s="277">
        <f t="shared" si="36"/>
        <v>2.2559999999999998</v>
      </c>
      <c r="H26" s="277">
        <f t="shared" si="36"/>
        <v>2.2559999999999998</v>
      </c>
      <c r="L26" s="263">
        <v>40</v>
      </c>
      <c r="M26" s="263">
        <v>0.4</v>
      </c>
      <c r="R26" s="263"/>
      <c r="Z26" s="263"/>
    </row>
    <row r="27" spans="1:57" ht="26.1" customHeight="1">
      <c r="A27" s="279" t="s">
        <v>386</v>
      </c>
      <c r="B27" s="277">
        <f>$B$8*$B$9*0.5</f>
        <v>2.5560480000000001</v>
      </c>
      <c r="C27" s="277">
        <f t="shared" ref="C27:H27" si="37">$B$8*$B$9*0.5</f>
        <v>2.5560480000000001</v>
      </c>
      <c r="D27" s="277">
        <f t="shared" si="37"/>
        <v>2.5560480000000001</v>
      </c>
      <c r="E27" s="277">
        <f t="shared" si="37"/>
        <v>2.5560480000000001</v>
      </c>
      <c r="F27" s="277">
        <f t="shared" si="37"/>
        <v>2.5560480000000001</v>
      </c>
      <c r="G27" s="277">
        <f t="shared" si="37"/>
        <v>2.5560480000000001</v>
      </c>
      <c r="H27" s="277">
        <f t="shared" si="37"/>
        <v>2.5560480000000001</v>
      </c>
      <c r="L27" s="263">
        <v>45</v>
      </c>
      <c r="M27" s="263">
        <v>0.2</v>
      </c>
      <c r="R27" s="263"/>
      <c r="Z27" s="263"/>
    </row>
    <row r="28" spans="1:57" ht="26.1" customHeight="1">
      <c r="A28" s="280" t="s">
        <v>387</v>
      </c>
      <c r="B28" s="281">
        <f>B24*B27/B26</f>
        <v>9.4832100000000003E-2</v>
      </c>
      <c r="C28" s="281">
        <f t="shared" ref="C28:H28" si="38">C24*C27/C26</f>
        <v>6.5498730000000005E-2</v>
      </c>
      <c r="D28" s="281">
        <f t="shared" si="38"/>
        <v>0.10173206999999999</v>
      </c>
      <c r="E28" s="281">
        <f t="shared" si="38"/>
        <v>0.12542310000000001</v>
      </c>
      <c r="F28" s="281">
        <f t="shared" si="38"/>
        <v>0.12960387000000001</v>
      </c>
      <c r="G28" s="281">
        <f t="shared" si="38"/>
        <v>0.12821028000000001</v>
      </c>
      <c r="H28" s="281">
        <f t="shared" si="38"/>
        <v>0.15050772000000001</v>
      </c>
      <c r="R28" s="263"/>
      <c r="Z28" s="263"/>
      <c r="AM28" s="269"/>
      <c r="AN28" s="269"/>
      <c r="AO28" s="269"/>
      <c r="AP28" s="269"/>
    </row>
    <row r="29" spans="1:57" ht="26.1" customHeight="1">
      <c r="A29" s="280" t="s">
        <v>388</v>
      </c>
      <c r="B29" s="281">
        <f>B25*B27/B26</f>
        <v>0.2423487</v>
      </c>
      <c r="C29" s="281">
        <f t="shared" ref="C29:H29" si="39">C25*C27/C26</f>
        <v>0.16444362000000001</v>
      </c>
      <c r="D29" s="281">
        <f t="shared" si="39"/>
        <v>0.19649618999999999</v>
      </c>
      <c r="E29" s="281">
        <f t="shared" si="39"/>
        <v>0.23133593999999999</v>
      </c>
      <c r="F29" s="281">
        <f t="shared" si="39"/>
        <v>0.23133593999999999</v>
      </c>
      <c r="G29" s="281">
        <f t="shared" si="39"/>
        <v>0.23133593999999999</v>
      </c>
      <c r="H29" s="281">
        <f t="shared" si="39"/>
        <v>0.23133593999999999</v>
      </c>
      <c r="R29" s="263"/>
      <c r="Z29" s="263"/>
      <c r="AM29" s="269"/>
      <c r="AN29" s="269"/>
      <c r="AO29" s="269"/>
      <c r="AP29" s="269"/>
    </row>
    <row r="30" spans="1:57" ht="26.1" customHeight="1">
      <c r="A30" s="281" t="s">
        <v>389</v>
      </c>
      <c r="B30" s="281">
        <f>$B$7/100/$B$9</f>
        <v>0.14184397163120599</v>
      </c>
      <c r="C30" s="281">
        <f t="shared" ref="C30:H30" si="40">$B$7/100/$B$9</f>
        <v>0.14184397163120599</v>
      </c>
      <c r="D30" s="281">
        <f t="shared" si="40"/>
        <v>0.14184397163120599</v>
      </c>
      <c r="E30" s="281">
        <f t="shared" si="40"/>
        <v>0.14184397163120599</v>
      </c>
      <c r="F30" s="281">
        <f t="shared" si="40"/>
        <v>0.14184397163120599</v>
      </c>
      <c r="G30" s="281">
        <f t="shared" si="40"/>
        <v>0.14184397163120599</v>
      </c>
      <c r="H30" s="281">
        <f t="shared" si="40"/>
        <v>0.14184397163120599</v>
      </c>
      <c r="R30" s="263"/>
      <c r="Z30" s="263"/>
      <c r="AM30" s="269"/>
      <c r="AN30" s="269"/>
      <c r="AO30" s="269"/>
      <c r="AP30" s="269"/>
    </row>
    <row r="31" spans="1:57" ht="26.1" customHeight="1">
      <c r="A31" s="281" t="s">
        <v>390</v>
      </c>
      <c r="B31" s="281">
        <f>IF(B17="抗风模式",$B$6*B22*B27/B26,0)</f>
        <v>0.33989999999999998</v>
      </c>
      <c r="C31" s="281">
        <f t="shared" ref="C31:H31" si="41">IF(C17="抗风模式",$B$6*C22*C27/C26,0)</f>
        <v>0</v>
      </c>
      <c r="D31" s="281">
        <f t="shared" si="41"/>
        <v>0</v>
      </c>
      <c r="E31" s="281">
        <f t="shared" si="41"/>
        <v>0</v>
      </c>
      <c r="F31" s="281">
        <f t="shared" si="41"/>
        <v>0</v>
      </c>
      <c r="G31" s="281">
        <f t="shared" si="41"/>
        <v>0</v>
      </c>
      <c r="H31" s="281">
        <f t="shared" si="41"/>
        <v>0</v>
      </c>
      <c r="R31" s="263"/>
      <c r="Z31" s="263"/>
      <c r="AM31" s="269"/>
      <c r="AN31" s="269"/>
      <c r="AO31" s="269"/>
      <c r="AP31" s="269"/>
    </row>
    <row r="32" spans="1:57" ht="26.1" customHeight="1">
      <c r="R32" s="263"/>
      <c r="Z32" s="263"/>
      <c r="AM32" s="269"/>
      <c r="AN32" s="269"/>
      <c r="AO32" s="269"/>
      <c r="AP32" s="269"/>
    </row>
    <row r="33" spans="1:42" ht="26.1" customHeight="1">
      <c r="A33" s="273" t="s">
        <v>391</v>
      </c>
      <c r="R33" s="263"/>
      <c r="Z33" s="263"/>
      <c r="AM33" s="269"/>
      <c r="AN33" s="269"/>
      <c r="AO33" s="269"/>
      <c r="AP33" s="269"/>
    </row>
    <row r="34" spans="1:42" ht="26.1" customHeight="1">
      <c r="D34" s="263" t="s">
        <v>183</v>
      </c>
      <c r="E34" s="282" t="str">
        <f>E14</f>
        <v>自动</v>
      </c>
      <c r="R34" s="263"/>
      <c r="Z34" s="263"/>
      <c r="AM34" s="269"/>
      <c r="AN34" s="269"/>
      <c r="AO34" s="269"/>
      <c r="AP34" s="269"/>
    </row>
    <row r="35" spans="1:42" ht="26.1" customHeight="1">
      <c r="D35" s="263" t="s">
        <v>187</v>
      </c>
      <c r="E35" s="282" t="str">
        <f>E15</f>
        <v>2P</v>
      </c>
      <c r="R35" s="263"/>
      <c r="Z35" s="263"/>
      <c r="AM35" s="269"/>
      <c r="AN35" s="269"/>
      <c r="AO35" s="269"/>
      <c r="AP35" s="269"/>
    </row>
    <row r="36" spans="1:42" ht="26.1" customHeight="1">
      <c r="A36" s="275" t="s">
        <v>383</v>
      </c>
      <c r="B36" s="282">
        <f>B16</f>
        <v>5</v>
      </c>
      <c r="C36" s="282">
        <f t="shared" ref="C36:H37" si="42">C16</f>
        <v>10</v>
      </c>
      <c r="D36" s="282">
        <f t="shared" si="42"/>
        <v>20</v>
      </c>
      <c r="E36" s="282">
        <f t="shared" si="42"/>
        <v>30</v>
      </c>
      <c r="F36" s="282">
        <f t="shared" si="42"/>
        <v>35</v>
      </c>
      <c r="G36" s="282">
        <f t="shared" si="42"/>
        <v>40</v>
      </c>
      <c r="H36" s="282">
        <f t="shared" si="42"/>
        <v>45</v>
      </c>
      <c r="R36" s="263"/>
      <c r="Z36" s="263"/>
      <c r="AM36" s="269"/>
      <c r="AN36" s="269"/>
      <c r="AO36" s="269"/>
      <c r="AP36" s="269"/>
    </row>
    <row r="37" spans="1:42" ht="26.1" customHeight="1">
      <c r="A37" s="276" t="s">
        <v>190</v>
      </c>
      <c r="B37" s="282" t="str">
        <f>B17</f>
        <v>抗风模式</v>
      </c>
      <c r="C37" s="282" t="str">
        <f t="shared" si="42"/>
        <v>运行模式</v>
      </c>
      <c r="D37" s="282" t="str">
        <f t="shared" si="42"/>
        <v>运行模式</v>
      </c>
      <c r="E37" s="282" t="str">
        <f t="shared" si="42"/>
        <v>运行模式</v>
      </c>
      <c r="F37" s="282" t="str">
        <f t="shared" si="42"/>
        <v>运行模式</v>
      </c>
      <c r="G37" s="282" t="str">
        <f t="shared" si="42"/>
        <v>运行模式</v>
      </c>
      <c r="H37" s="282" t="str">
        <f t="shared" si="42"/>
        <v>运行模式</v>
      </c>
      <c r="R37" s="263"/>
      <c r="Z37" s="263"/>
      <c r="AM37" s="269"/>
      <c r="AN37" s="269"/>
      <c r="AO37" s="269"/>
      <c r="AP37" s="269"/>
    </row>
    <row r="38" spans="1:42" ht="26.1" customHeight="1">
      <c r="A38" s="276" t="s">
        <v>193</v>
      </c>
      <c r="B38" s="277">
        <f>IF(B37="运行模式",$B$4,ROUND($B$5*SQRT($F$4),2))</f>
        <v>22.26</v>
      </c>
      <c r="C38" s="277">
        <f t="shared" ref="C38:H38" si="43">IF(C37="运行模式",$B$4,ROUND($B$5*SQRT($F$4),2))</f>
        <v>14</v>
      </c>
      <c r="D38" s="277">
        <f t="shared" si="43"/>
        <v>14</v>
      </c>
      <c r="E38" s="277">
        <f t="shared" si="43"/>
        <v>14</v>
      </c>
      <c r="F38" s="277">
        <f t="shared" si="43"/>
        <v>14</v>
      </c>
      <c r="G38" s="277">
        <f t="shared" si="43"/>
        <v>14</v>
      </c>
      <c r="H38" s="277">
        <f t="shared" si="43"/>
        <v>14</v>
      </c>
      <c r="R38" s="263"/>
      <c r="Z38" s="263"/>
      <c r="AM38" s="269"/>
      <c r="AN38" s="269"/>
      <c r="AO38" s="269"/>
      <c r="AP38" s="269"/>
    </row>
    <row r="39" spans="1:42" ht="26.1" customHeight="1">
      <c r="A39" s="276" t="s">
        <v>194</v>
      </c>
      <c r="B39" s="277">
        <f>ROUND(B38^2/1600,3)</f>
        <v>0.31</v>
      </c>
      <c r="C39" s="277">
        <f t="shared" ref="C39:H39" si="44">ROUND(C38^2/1600,3)</f>
        <v>0.123</v>
      </c>
      <c r="D39" s="277">
        <f t="shared" si="44"/>
        <v>0.123</v>
      </c>
      <c r="E39" s="277">
        <f t="shared" si="44"/>
        <v>0.123</v>
      </c>
      <c r="F39" s="277">
        <f t="shared" si="44"/>
        <v>0.123</v>
      </c>
      <c r="G39" s="277">
        <f t="shared" si="44"/>
        <v>0.123</v>
      </c>
      <c r="H39" s="277">
        <f t="shared" si="44"/>
        <v>0.123</v>
      </c>
      <c r="R39" s="263"/>
      <c r="Z39" s="263"/>
      <c r="AM39" s="269"/>
      <c r="AN39" s="269"/>
      <c r="AO39" s="269"/>
      <c r="AP39" s="269"/>
    </row>
    <row r="40" spans="1:42" ht="26.1" customHeight="1">
      <c r="A40" s="276" t="s">
        <v>345</v>
      </c>
      <c r="B40" s="277">
        <f>IF($E$15="1P",VLOOKUP(B36,$T$58:$Z$70,5,FALSE),IF($E$15="2P",VLOOKUP(B36,$T$74:$Z$86,5,FALSE)))</f>
        <v>0.69</v>
      </c>
      <c r="C40" s="277">
        <f t="shared" ref="C40:H40" si="45">IF($E$15="1P",VLOOKUP(C36,$T$58:$Z$70,5,FALSE),IF($E$15="2P",VLOOKUP(C36,$T$74:$Z$86,5,FALSE)))</f>
        <v>1.18</v>
      </c>
      <c r="D40" s="277">
        <f t="shared" si="45"/>
        <v>1.41</v>
      </c>
      <c r="E40" s="277">
        <f t="shared" si="45"/>
        <v>1.66</v>
      </c>
      <c r="F40" s="277">
        <f t="shared" si="45"/>
        <v>1.66</v>
      </c>
      <c r="G40" s="277">
        <f t="shared" si="45"/>
        <v>1.74</v>
      </c>
      <c r="H40" s="277">
        <f t="shared" si="45"/>
        <v>1.74</v>
      </c>
      <c r="R40" s="263"/>
      <c r="Z40" s="263"/>
      <c r="AM40" s="269"/>
      <c r="AN40" s="269"/>
      <c r="AO40" s="269"/>
      <c r="AP40" s="269"/>
    </row>
    <row r="41" spans="1:42" ht="26.1" customHeight="1">
      <c r="A41" s="276" t="s">
        <v>346</v>
      </c>
      <c r="B41" s="277">
        <f>IF($E$15="1P",VLOOKUP(B36,$T$58:$Z$70,6,FALSE),IF($E$15="2P",VLOOKUP(B36,$T$74:$Z$86,6,FALSE)))</f>
        <v>0.27</v>
      </c>
      <c r="C41" s="277">
        <f t="shared" ref="C41:H41" si="46">IF($E$15="1P",VLOOKUP(C36,$T$58:$Z$70,6,FALSE),IF($E$15="2P",VLOOKUP(C36,$T$74:$Z$86,6,FALSE)))</f>
        <v>0.47</v>
      </c>
      <c r="D41" s="277">
        <f t="shared" si="46"/>
        <v>0.73</v>
      </c>
      <c r="E41" s="277">
        <f t="shared" si="46"/>
        <v>0.9</v>
      </c>
      <c r="F41" s="277">
        <f t="shared" si="46"/>
        <v>0.93</v>
      </c>
      <c r="G41" s="277">
        <f t="shared" si="46"/>
        <v>1.1000000000000001</v>
      </c>
      <c r="H41" s="277">
        <f t="shared" si="46"/>
        <v>1.2</v>
      </c>
      <c r="R41" s="263"/>
      <c r="Z41" s="263"/>
      <c r="AM41" s="269"/>
      <c r="AN41" s="269"/>
      <c r="AO41" s="269"/>
      <c r="AP41" s="269"/>
    </row>
    <row r="42" spans="1:42" ht="26.1" customHeight="1">
      <c r="A42" s="276" t="s">
        <v>361</v>
      </c>
      <c r="B42" s="277">
        <f>IF(B36&lt;25,1,VLOOKUP(B36,$L$23:$M$27,2,FALSE))</f>
        <v>1</v>
      </c>
      <c r="C42" s="277">
        <f t="shared" ref="C42:H42" si="47">IF(C36&lt;25,1,VLOOKUP(C36,$L$23:$M$27,2,FALSE))</f>
        <v>1</v>
      </c>
      <c r="D42" s="277">
        <f t="shared" si="47"/>
        <v>1</v>
      </c>
      <c r="E42" s="277">
        <f t="shared" si="47"/>
        <v>0.8</v>
      </c>
      <c r="F42" s="277">
        <f t="shared" si="47"/>
        <v>0.6</v>
      </c>
      <c r="G42" s="277">
        <f t="shared" si="47"/>
        <v>0.4</v>
      </c>
      <c r="H42" s="277">
        <f t="shared" si="47"/>
        <v>0.2</v>
      </c>
      <c r="R42" s="263"/>
      <c r="Z42" s="263"/>
      <c r="AM42" s="269"/>
      <c r="AN42" s="269"/>
      <c r="AO42" s="269"/>
      <c r="AP42" s="269"/>
    </row>
    <row r="43" spans="1:42" ht="26.1" customHeight="1">
      <c r="A43" s="278" t="s">
        <v>203</v>
      </c>
      <c r="B43" s="277">
        <f t="shared" ref="B43:H43" si="48">ABS((B40-B41)/8)</f>
        <v>5.2499999999999998E-2</v>
      </c>
      <c r="C43" s="277">
        <f t="shared" si="48"/>
        <v>8.8749999999999996E-2</v>
      </c>
      <c r="D43" s="277">
        <f t="shared" si="48"/>
        <v>8.5000000000000006E-2</v>
      </c>
      <c r="E43" s="277">
        <f t="shared" si="48"/>
        <v>9.5000000000000001E-2</v>
      </c>
      <c r="F43" s="277">
        <f t="shared" si="48"/>
        <v>9.1249999999999998E-2</v>
      </c>
      <c r="G43" s="277">
        <f t="shared" si="48"/>
        <v>0.08</v>
      </c>
      <c r="H43" s="277">
        <f t="shared" si="48"/>
        <v>6.7500000000000004E-2</v>
      </c>
      <c r="R43" s="263"/>
      <c r="Z43" s="263"/>
      <c r="AM43" s="269"/>
      <c r="AN43" s="269"/>
      <c r="AO43" s="269"/>
      <c r="AP43" s="269"/>
    </row>
    <row r="44" spans="1:42" ht="26.1" customHeight="1">
      <c r="A44" s="278" t="s">
        <v>204</v>
      </c>
      <c r="B44" s="277">
        <f>B39*B40</f>
        <v>0.21390000000000001</v>
      </c>
      <c r="C44" s="277">
        <f t="shared" ref="C44:H44" si="49">C39*C40</f>
        <v>0.14513999999999999</v>
      </c>
      <c r="D44" s="277">
        <f t="shared" si="49"/>
        <v>0.17343</v>
      </c>
      <c r="E44" s="277">
        <f t="shared" si="49"/>
        <v>0.20418</v>
      </c>
      <c r="F44" s="277">
        <f t="shared" si="49"/>
        <v>0.20418</v>
      </c>
      <c r="G44" s="277">
        <f t="shared" si="49"/>
        <v>0.21401999999999999</v>
      </c>
      <c r="H44" s="277">
        <f t="shared" si="49"/>
        <v>0.21401999999999999</v>
      </c>
      <c r="R44" s="263"/>
      <c r="Z44" s="263"/>
      <c r="AM44" s="269"/>
      <c r="AN44" s="269"/>
      <c r="AO44" s="269"/>
      <c r="AP44" s="269"/>
    </row>
    <row r="45" spans="1:42" ht="26.1" customHeight="1">
      <c r="A45" s="279" t="s">
        <v>384</v>
      </c>
      <c r="B45" s="277">
        <f>B39*B41</f>
        <v>8.3699999999999997E-2</v>
      </c>
      <c r="C45" s="277">
        <f t="shared" ref="C45:H45" si="50">C39*C41</f>
        <v>5.781E-2</v>
      </c>
      <c r="D45" s="277">
        <f t="shared" si="50"/>
        <v>8.9789999999999995E-2</v>
      </c>
      <c r="E45" s="277">
        <f t="shared" si="50"/>
        <v>0.11070000000000001</v>
      </c>
      <c r="F45" s="277">
        <f t="shared" si="50"/>
        <v>0.11439000000000001</v>
      </c>
      <c r="G45" s="277">
        <f t="shared" si="50"/>
        <v>0.1353</v>
      </c>
      <c r="H45" s="277">
        <f t="shared" si="50"/>
        <v>0.14760000000000001</v>
      </c>
      <c r="R45" s="263"/>
      <c r="Z45" s="263"/>
      <c r="AM45" s="269"/>
      <c r="AN45" s="269"/>
      <c r="AO45" s="269"/>
      <c r="AP45" s="269"/>
    </row>
    <row r="46" spans="1:42" ht="26.1" customHeight="1">
      <c r="A46" s="279" t="s">
        <v>385</v>
      </c>
      <c r="B46" s="277">
        <f>$B$9*0.5</f>
        <v>2.2559999999999998</v>
      </c>
      <c r="C46" s="277">
        <f t="shared" ref="C46:H46" si="51">$B$9*0.5</f>
        <v>2.2559999999999998</v>
      </c>
      <c r="D46" s="277">
        <f t="shared" si="51"/>
        <v>2.2559999999999998</v>
      </c>
      <c r="E46" s="277">
        <f t="shared" si="51"/>
        <v>2.2559999999999998</v>
      </c>
      <c r="F46" s="277">
        <f t="shared" si="51"/>
        <v>2.2559999999999998</v>
      </c>
      <c r="G46" s="277">
        <f t="shared" si="51"/>
        <v>2.2559999999999998</v>
      </c>
      <c r="H46" s="277">
        <f t="shared" si="51"/>
        <v>2.2559999999999998</v>
      </c>
      <c r="R46" s="263"/>
      <c r="Z46" s="263"/>
      <c r="AM46" s="269"/>
      <c r="AN46" s="269"/>
      <c r="AO46" s="269"/>
      <c r="AP46" s="269"/>
    </row>
    <row r="47" spans="1:42" ht="26.1" customHeight="1">
      <c r="A47" s="279" t="s">
        <v>386</v>
      </c>
      <c r="B47" s="277">
        <f>$B$8*$B$9*0.5</f>
        <v>2.5560480000000001</v>
      </c>
      <c r="C47" s="277">
        <f t="shared" ref="C47:H47" si="52">$B$8*$B$9*0.5</f>
        <v>2.5560480000000001</v>
      </c>
      <c r="D47" s="277">
        <f t="shared" si="52"/>
        <v>2.5560480000000001</v>
      </c>
      <c r="E47" s="277">
        <f t="shared" si="52"/>
        <v>2.5560480000000001</v>
      </c>
      <c r="F47" s="277">
        <f t="shared" si="52"/>
        <v>2.5560480000000001</v>
      </c>
      <c r="G47" s="277">
        <f t="shared" si="52"/>
        <v>2.5560480000000001</v>
      </c>
      <c r="H47" s="277">
        <f t="shared" si="52"/>
        <v>2.5560480000000001</v>
      </c>
      <c r="R47" s="263"/>
      <c r="Z47" s="263"/>
      <c r="AM47" s="269"/>
      <c r="AN47" s="269"/>
      <c r="AO47" s="269"/>
      <c r="AP47" s="269"/>
    </row>
    <row r="48" spans="1:42" ht="26.1" customHeight="1">
      <c r="A48" s="280" t="s">
        <v>387</v>
      </c>
      <c r="B48" s="281">
        <f>B44*B47/B46</f>
        <v>0.2423487</v>
      </c>
      <c r="C48" s="281">
        <f t="shared" ref="C48:H48" si="53">C44*C47/C46</f>
        <v>0.16444362000000001</v>
      </c>
      <c r="D48" s="281">
        <f t="shared" si="53"/>
        <v>0.19649618999999999</v>
      </c>
      <c r="E48" s="281">
        <f t="shared" si="53"/>
        <v>0.23133593999999999</v>
      </c>
      <c r="F48" s="281">
        <f t="shared" si="53"/>
        <v>0.23133593999999999</v>
      </c>
      <c r="G48" s="281">
        <f t="shared" si="53"/>
        <v>0.24248465999999999</v>
      </c>
      <c r="H48" s="281">
        <f t="shared" si="53"/>
        <v>0.24248465999999999</v>
      </c>
      <c r="R48" s="263"/>
      <c r="Z48" s="263"/>
      <c r="AM48" s="269"/>
      <c r="AN48" s="269"/>
      <c r="AO48" s="269"/>
      <c r="AP48" s="269"/>
    </row>
    <row r="49" spans="1:42" ht="26.1" customHeight="1">
      <c r="A49" s="280" t="s">
        <v>388</v>
      </c>
      <c r="B49" s="281">
        <f>B45*B47/B46</f>
        <v>9.4832100000000003E-2</v>
      </c>
      <c r="C49" s="281">
        <f t="shared" ref="C49:H49" si="54">C45*C47/C46</f>
        <v>6.5498730000000005E-2</v>
      </c>
      <c r="D49" s="281">
        <f t="shared" si="54"/>
        <v>0.10173206999999999</v>
      </c>
      <c r="E49" s="281">
        <f t="shared" si="54"/>
        <v>0.12542310000000001</v>
      </c>
      <c r="F49" s="281">
        <f t="shared" si="54"/>
        <v>0.12960387000000001</v>
      </c>
      <c r="G49" s="281">
        <f t="shared" si="54"/>
        <v>0.15329490000000001</v>
      </c>
      <c r="H49" s="281">
        <f t="shared" si="54"/>
        <v>0.16723080000000001</v>
      </c>
      <c r="R49" s="263"/>
      <c r="Z49" s="263"/>
      <c r="AM49" s="269"/>
      <c r="AN49" s="269"/>
      <c r="AO49" s="269"/>
      <c r="AP49" s="269"/>
    </row>
    <row r="50" spans="1:42" ht="26.1" customHeight="1">
      <c r="A50" s="281" t="s">
        <v>389</v>
      </c>
      <c r="B50" s="281">
        <f>$B$7/100/$B$9</f>
        <v>0.14184397163120599</v>
      </c>
      <c r="C50" s="281">
        <f t="shared" ref="C50:H50" si="55">$B$7/100/$B$9</f>
        <v>0.14184397163120599</v>
      </c>
      <c r="D50" s="281">
        <f t="shared" si="55"/>
        <v>0.14184397163120599</v>
      </c>
      <c r="E50" s="281">
        <f t="shared" si="55"/>
        <v>0.14184397163120599</v>
      </c>
      <c r="F50" s="281">
        <f t="shared" si="55"/>
        <v>0.14184397163120599</v>
      </c>
      <c r="G50" s="281">
        <f t="shared" si="55"/>
        <v>0.14184397163120599</v>
      </c>
      <c r="H50" s="281">
        <f t="shared" si="55"/>
        <v>0.14184397163120599</v>
      </c>
      <c r="R50" s="263"/>
      <c r="Z50" s="263"/>
      <c r="AM50" s="269"/>
      <c r="AN50" s="269"/>
      <c r="AO50" s="269"/>
      <c r="AP50" s="269"/>
    </row>
    <row r="51" spans="1:42" ht="26.1" customHeight="1">
      <c r="A51" s="281" t="s">
        <v>392</v>
      </c>
      <c r="B51" s="281">
        <f>IF(B37="抗风模式",$B$6*B42*B47/B46,0)</f>
        <v>0.33989999999999998</v>
      </c>
      <c r="C51" s="281">
        <f t="shared" ref="C51:H51" si="56">IF(C37="抗风模式",$B$6*C42*C47/C46,0)</f>
        <v>0</v>
      </c>
      <c r="D51" s="281">
        <f t="shared" si="56"/>
        <v>0</v>
      </c>
      <c r="E51" s="281">
        <f t="shared" si="56"/>
        <v>0</v>
      </c>
      <c r="F51" s="281">
        <f t="shared" si="56"/>
        <v>0</v>
      </c>
      <c r="G51" s="281">
        <f t="shared" si="56"/>
        <v>0</v>
      </c>
      <c r="H51" s="281">
        <f t="shared" si="56"/>
        <v>0</v>
      </c>
      <c r="R51" s="263"/>
      <c r="Z51" s="263"/>
      <c r="AM51" s="269"/>
      <c r="AN51" s="269"/>
      <c r="AO51" s="269"/>
      <c r="AP51" s="269"/>
    </row>
    <row r="52" spans="1:42" ht="26.1" customHeight="1">
      <c r="R52" s="263"/>
      <c r="Z52" s="263"/>
      <c r="AM52" s="269"/>
      <c r="AN52" s="269"/>
      <c r="AO52" s="269"/>
      <c r="AP52" s="269"/>
    </row>
    <row r="53" spans="1:42" ht="26.1" customHeight="1">
      <c r="R53" s="263"/>
      <c r="Z53" s="263"/>
      <c r="AM53" s="269"/>
      <c r="AN53" s="269"/>
      <c r="AO53" s="269"/>
      <c r="AP53" s="269"/>
    </row>
    <row r="54" spans="1:42" ht="26.1" customHeight="1">
      <c r="R54" s="263"/>
      <c r="Z54" s="263"/>
      <c r="AM54" s="269"/>
      <c r="AN54" s="269"/>
      <c r="AO54" s="269"/>
      <c r="AP54" s="269"/>
    </row>
    <row r="55" spans="1:42" ht="26.1" customHeight="1">
      <c r="J55" s="283" t="s">
        <v>253</v>
      </c>
      <c r="R55" s="263"/>
      <c r="Z55" s="263"/>
      <c r="AM55" s="269"/>
      <c r="AN55" s="269"/>
      <c r="AO55" s="269"/>
      <c r="AP55" s="269"/>
    </row>
    <row r="56" spans="1:42" ht="26.1" customHeight="1">
      <c r="J56" s="272" t="s">
        <v>188</v>
      </c>
      <c r="K56" s="398" t="s">
        <v>255</v>
      </c>
      <c r="L56" s="399"/>
      <c r="M56" s="400"/>
      <c r="N56" s="401" t="s">
        <v>256</v>
      </c>
      <c r="O56" s="402"/>
      <c r="P56" s="403"/>
      <c r="R56" s="263"/>
      <c r="T56" s="272" t="s">
        <v>188</v>
      </c>
      <c r="U56" s="398" t="s">
        <v>255</v>
      </c>
      <c r="V56" s="399"/>
      <c r="W56" s="400"/>
      <c r="X56" s="398" t="s">
        <v>256</v>
      </c>
      <c r="Y56" s="399"/>
      <c r="Z56" s="400"/>
      <c r="AM56" s="269"/>
      <c r="AN56" s="269"/>
      <c r="AO56" s="269"/>
      <c r="AP56" s="269"/>
    </row>
    <row r="57" spans="1:42" ht="26.1" customHeight="1">
      <c r="G57" s="277"/>
      <c r="H57" s="277"/>
      <c r="J57" s="284" t="s">
        <v>257</v>
      </c>
      <c r="K57" s="277" t="s">
        <v>258</v>
      </c>
      <c r="L57" s="277" t="s">
        <v>259</v>
      </c>
      <c r="M57" s="277" t="s">
        <v>260</v>
      </c>
      <c r="N57" s="277" t="s">
        <v>258</v>
      </c>
      <c r="O57" s="277" t="s">
        <v>259</v>
      </c>
      <c r="P57" s="277" t="s">
        <v>260</v>
      </c>
      <c r="Q57" s="277"/>
      <c r="R57" s="277"/>
      <c r="T57" s="286" t="s">
        <v>261</v>
      </c>
      <c r="U57" s="277" t="s">
        <v>258</v>
      </c>
      <c r="V57" s="277" t="s">
        <v>259</v>
      </c>
      <c r="W57" s="277" t="s">
        <v>260</v>
      </c>
      <c r="X57" s="277" t="s">
        <v>258</v>
      </c>
      <c r="Y57" s="277" t="s">
        <v>259</v>
      </c>
      <c r="Z57" s="277" t="s">
        <v>260</v>
      </c>
      <c r="AM57" s="269"/>
      <c r="AN57" s="269"/>
      <c r="AO57" s="269"/>
      <c r="AP57" s="269"/>
    </row>
    <row r="58" spans="1:42" ht="26.1" customHeight="1">
      <c r="J58" s="277">
        <v>0</v>
      </c>
      <c r="K58" s="285">
        <v>0.04</v>
      </c>
      <c r="L58" s="285">
        <v>7.0000000000000007E-2</v>
      </c>
      <c r="M58" s="277">
        <f>ABS((L58-K58)/8)</f>
        <v>3.7499999999999999E-3</v>
      </c>
      <c r="N58" s="274">
        <v>0.04</v>
      </c>
      <c r="O58" s="274">
        <v>7.0000000000000007E-2</v>
      </c>
      <c r="P58" s="277">
        <f>ABS((O58-N58)/8)</f>
        <v>3.7499999999999999E-3</v>
      </c>
      <c r="R58" s="263"/>
      <c r="T58" s="277">
        <v>0</v>
      </c>
      <c r="U58" s="277">
        <f>IF($E$14="自定义",K58,0.04)</f>
        <v>0.04</v>
      </c>
      <c r="V58" s="277">
        <f>IF($E$14="自定义",L58,0.07)</f>
        <v>7.0000000000000007E-2</v>
      </c>
      <c r="W58" s="277">
        <f>ABS((V58-U58)/8)</f>
        <v>3.7499999999999999E-3</v>
      </c>
      <c r="X58" s="277">
        <f>IF($E$14="自定义",N58,0.04)</f>
        <v>0.04</v>
      </c>
      <c r="Y58" s="277">
        <f>IF($E$14="自定义",O58,0.07)</f>
        <v>7.0000000000000007E-2</v>
      </c>
      <c r="Z58" s="277">
        <f>ABS((Y58-X58)/8)</f>
        <v>3.7499999999999999E-3</v>
      </c>
      <c r="AM58" s="269"/>
      <c r="AN58" s="269"/>
      <c r="AO58" s="269"/>
      <c r="AP58" s="269"/>
    </row>
    <row r="59" spans="1:42" ht="26.1" customHeight="1">
      <c r="J59" s="277">
        <v>5</v>
      </c>
      <c r="K59" s="285">
        <v>0.12</v>
      </c>
      <c r="L59" s="285">
        <v>0.41</v>
      </c>
      <c r="M59" s="277">
        <f t="shared" ref="M59:M70" si="57">ABS((L59-K59)/8)</f>
        <v>3.6249999999999998E-2</v>
      </c>
      <c r="N59" s="274">
        <v>0.41</v>
      </c>
      <c r="O59" s="274">
        <v>0.12</v>
      </c>
      <c r="P59" s="277">
        <f t="shared" ref="P59:P70" si="58">ABS((O59-N59)/8)</f>
        <v>3.6249999999999998E-2</v>
      </c>
      <c r="R59" s="263"/>
      <c r="T59" s="277">
        <v>5</v>
      </c>
      <c r="U59" s="277">
        <f>IF($E$14="自定义",K59,0.12)</f>
        <v>0.12</v>
      </c>
      <c r="V59" s="277">
        <f>IF($E$14="自定义",L59,0.41)</f>
        <v>0.41</v>
      </c>
      <c r="W59" s="277">
        <f t="shared" ref="W59:W70" si="59">ABS((V59-U59)/8)</f>
        <v>3.6249999999999998E-2</v>
      </c>
      <c r="X59" s="277">
        <f>IF($E$14="自定义",N59,0.41)</f>
        <v>0.41</v>
      </c>
      <c r="Y59" s="277">
        <f>IF($E$14="自定义",O59,0.12)</f>
        <v>0.12</v>
      </c>
      <c r="Z59" s="277">
        <f t="shared" ref="Z59:Z70" si="60">ABS((Y59-X59)/8)</f>
        <v>3.6249999999999998E-2</v>
      </c>
      <c r="AM59" s="269"/>
      <c r="AN59" s="269"/>
      <c r="AO59" s="269"/>
      <c r="AP59" s="269"/>
    </row>
    <row r="60" spans="1:42" ht="26.1" customHeight="1">
      <c r="J60" s="277">
        <v>10</v>
      </c>
      <c r="K60" s="285">
        <v>0.14000000000000001</v>
      </c>
      <c r="L60" s="285">
        <v>0.38</v>
      </c>
      <c r="M60" s="277">
        <f t="shared" si="57"/>
        <v>0.03</v>
      </c>
      <c r="N60" s="274">
        <v>0.38</v>
      </c>
      <c r="O60" s="274">
        <v>0.14000000000000001</v>
      </c>
      <c r="P60" s="277">
        <f t="shared" si="58"/>
        <v>0.03</v>
      </c>
      <c r="R60" s="263"/>
      <c r="T60" s="277">
        <v>10</v>
      </c>
      <c r="U60" s="277">
        <f>IF($E$14="自定义",K60,0.14)</f>
        <v>0.14000000000000001</v>
      </c>
      <c r="V60" s="277">
        <f>IF($E$14="自定义",L60,0.38)</f>
        <v>0.38</v>
      </c>
      <c r="W60" s="277">
        <f t="shared" si="59"/>
        <v>0.03</v>
      </c>
      <c r="X60" s="277">
        <f>IF($E$14="自定义",N60,0.38)</f>
        <v>0.38</v>
      </c>
      <c r="Y60" s="277">
        <f>IF($E$14="自定义",O60,0.14)</f>
        <v>0.14000000000000001</v>
      </c>
      <c r="Z60" s="277">
        <f t="shared" si="60"/>
        <v>0.03</v>
      </c>
      <c r="AM60" s="269"/>
      <c r="AN60" s="269"/>
      <c r="AO60" s="269"/>
      <c r="AP60" s="269"/>
    </row>
    <row r="61" spans="1:42" ht="26.1" customHeight="1">
      <c r="J61" s="277">
        <v>15</v>
      </c>
      <c r="K61" s="285">
        <v>0.25</v>
      </c>
      <c r="L61" s="285">
        <v>0.61</v>
      </c>
      <c r="M61" s="277">
        <f t="shared" si="57"/>
        <v>4.4999999999999998E-2</v>
      </c>
      <c r="N61" s="274">
        <v>0.61</v>
      </c>
      <c r="O61" s="274">
        <v>0.25</v>
      </c>
      <c r="P61" s="277">
        <f t="shared" si="58"/>
        <v>4.4999999999999998E-2</v>
      </c>
      <c r="R61" s="263"/>
      <c r="T61" s="277">
        <v>15</v>
      </c>
      <c r="U61" s="277">
        <f>IF($E$14="自定义",K61,0.25)</f>
        <v>0.25</v>
      </c>
      <c r="V61" s="277">
        <f>IF($E$14="自定义",L61,0.61)</f>
        <v>0.61</v>
      </c>
      <c r="W61" s="277">
        <f t="shared" si="59"/>
        <v>4.4999999999999998E-2</v>
      </c>
      <c r="X61" s="277">
        <f>IF($E$14="自定义",N61,0.61)</f>
        <v>0.61</v>
      </c>
      <c r="Y61" s="277">
        <f>IF($E$14="自定义",O61,0.25)</f>
        <v>0.25</v>
      </c>
      <c r="Z61" s="277">
        <f t="shared" si="60"/>
        <v>4.4999999999999998E-2</v>
      </c>
      <c r="AM61" s="269"/>
      <c r="AN61" s="269"/>
      <c r="AO61" s="269"/>
      <c r="AP61" s="269"/>
    </row>
    <row r="62" spans="1:42" ht="26.1" customHeight="1">
      <c r="J62" s="277">
        <v>20</v>
      </c>
      <c r="K62" s="285">
        <v>0.39</v>
      </c>
      <c r="L62" s="285">
        <v>0.87</v>
      </c>
      <c r="M62" s="277">
        <f t="shared" si="57"/>
        <v>0.06</v>
      </c>
      <c r="N62" s="274">
        <v>0.87</v>
      </c>
      <c r="O62" s="274">
        <v>0.39</v>
      </c>
      <c r="P62" s="277">
        <f t="shared" si="58"/>
        <v>0.06</v>
      </c>
      <c r="R62" s="263"/>
      <c r="T62" s="277">
        <v>20</v>
      </c>
      <c r="U62" s="277">
        <f>IF($E$14="自定义",K62,0.39)</f>
        <v>0.39</v>
      </c>
      <c r="V62" s="277">
        <f>IF($E$14="自定义",L62,0.87)</f>
        <v>0.87</v>
      </c>
      <c r="W62" s="277">
        <f t="shared" si="59"/>
        <v>0.06</v>
      </c>
      <c r="X62" s="277">
        <f>IF($E$14="自定义",N62,0.87)</f>
        <v>0.87</v>
      </c>
      <c r="Y62" s="277">
        <f>IF($E$14="自定义",O62,0.39)</f>
        <v>0.39</v>
      </c>
      <c r="Z62" s="277">
        <f t="shared" si="60"/>
        <v>0.06</v>
      </c>
      <c r="AM62" s="269"/>
      <c r="AN62" s="269"/>
      <c r="AO62" s="269"/>
      <c r="AP62" s="269"/>
    </row>
    <row r="63" spans="1:42" ht="26.1" customHeight="1">
      <c r="J63" s="277">
        <v>25</v>
      </c>
      <c r="K63" s="285">
        <v>0.52</v>
      </c>
      <c r="L63" s="285">
        <v>1.1599999999999999</v>
      </c>
      <c r="M63" s="277">
        <f t="shared" si="57"/>
        <v>0.08</v>
      </c>
      <c r="N63" s="274">
        <v>1.1599999999999999</v>
      </c>
      <c r="O63" s="274">
        <v>0.52</v>
      </c>
      <c r="P63" s="277">
        <f t="shared" si="58"/>
        <v>0.08</v>
      </c>
      <c r="R63" s="263"/>
      <c r="T63" s="277">
        <v>25</v>
      </c>
      <c r="U63" s="277">
        <f>IF($E$14="自定义",K63,0.52)</f>
        <v>0.52</v>
      </c>
      <c r="V63" s="277">
        <f>IF($E$14="自定义",L63,1.16)</f>
        <v>1.1599999999999999</v>
      </c>
      <c r="W63" s="277">
        <f t="shared" si="59"/>
        <v>0.08</v>
      </c>
      <c r="X63" s="277">
        <f>IF($E$14="自定义",N63,1.16)</f>
        <v>1.1599999999999999</v>
      </c>
      <c r="Y63" s="277">
        <f>IF($E$14="自定义",O63,0.52)</f>
        <v>0.52</v>
      </c>
      <c r="Z63" s="277">
        <f t="shared" si="60"/>
        <v>0.08</v>
      </c>
      <c r="AM63" s="269"/>
      <c r="AN63" s="269"/>
      <c r="AO63" s="269"/>
      <c r="AP63" s="269"/>
    </row>
    <row r="64" spans="1:42" ht="26.1" customHeight="1">
      <c r="J64" s="277">
        <v>30</v>
      </c>
      <c r="K64" s="285">
        <v>0.62</v>
      </c>
      <c r="L64" s="285">
        <v>1.42</v>
      </c>
      <c r="M64" s="277">
        <f t="shared" si="57"/>
        <v>0.1</v>
      </c>
      <c r="N64" s="274">
        <v>1.42</v>
      </c>
      <c r="O64" s="274">
        <v>0.62</v>
      </c>
      <c r="P64" s="277">
        <f t="shared" si="58"/>
        <v>0.1</v>
      </c>
      <c r="R64" s="263"/>
      <c r="T64" s="277">
        <v>30</v>
      </c>
      <c r="U64" s="277">
        <f>IF($E$14="自定义",K64,0.62)</f>
        <v>0.62</v>
      </c>
      <c r="V64" s="277">
        <f>IF($E$14="自定义",L64,1.42)</f>
        <v>1.42</v>
      </c>
      <c r="W64" s="277">
        <f t="shared" si="59"/>
        <v>0.1</v>
      </c>
      <c r="X64" s="277">
        <f>IF($E$14="自定义",N64,1.42)</f>
        <v>1.42</v>
      </c>
      <c r="Y64" s="277">
        <f>IF($E$14="自定义",O64,0.62)</f>
        <v>0.62</v>
      </c>
      <c r="Z64" s="277">
        <f t="shared" si="60"/>
        <v>0.1</v>
      </c>
      <c r="AM64" s="269"/>
      <c r="AN64" s="269"/>
      <c r="AO64" s="269"/>
      <c r="AP64" s="269"/>
    </row>
    <row r="65" spans="7:42" ht="26.1" customHeight="1">
      <c r="J65" s="277">
        <v>35</v>
      </c>
      <c r="K65" s="285">
        <v>0.75</v>
      </c>
      <c r="L65" s="285">
        <v>1.69</v>
      </c>
      <c r="M65" s="277">
        <f t="shared" si="57"/>
        <v>0.11749999999999999</v>
      </c>
      <c r="N65" s="274">
        <v>1.69</v>
      </c>
      <c r="O65" s="274">
        <v>0.75</v>
      </c>
      <c r="P65" s="277">
        <f t="shared" si="58"/>
        <v>0.11749999999999999</v>
      </c>
      <c r="R65" s="263"/>
      <c r="T65" s="277">
        <v>35</v>
      </c>
      <c r="U65" s="277">
        <f>IF($E$14="自定义",K65,0.75)</f>
        <v>0.75</v>
      </c>
      <c r="V65" s="277">
        <f>IF($E$14="自定义",L65,1.69)</f>
        <v>1.69</v>
      </c>
      <c r="W65" s="277">
        <f t="shared" si="59"/>
        <v>0.11749999999999999</v>
      </c>
      <c r="X65" s="277">
        <f>IF($E$14="自定义",N65,1.69)</f>
        <v>1.69</v>
      </c>
      <c r="Y65" s="277">
        <f>IF($E$14="自定义",O65,0.75)</f>
        <v>0.75</v>
      </c>
      <c r="Z65" s="277">
        <f t="shared" si="60"/>
        <v>0.11749999999999999</v>
      </c>
      <c r="AM65" s="269"/>
      <c r="AN65" s="269"/>
      <c r="AO65" s="269"/>
      <c r="AP65" s="269"/>
    </row>
    <row r="66" spans="7:42" ht="26.1" customHeight="1">
      <c r="J66" s="277">
        <v>40</v>
      </c>
      <c r="K66" s="285">
        <v>0.9</v>
      </c>
      <c r="L66" s="285">
        <v>1.87</v>
      </c>
      <c r="M66" s="277">
        <f t="shared" si="57"/>
        <v>0.12125</v>
      </c>
      <c r="N66" s="274">
        <v>1.87</v>
      </c>
      <c r="O66" s="274">
        <v>0.9</v>
      </c>
      <c r="P66" s="277">
        <f t="shared" si="58"/>
        <v>0.12125</v>
      </c>
      <c r="R66" s="263"/>
      <c r="T66" s="277">
        <v>40</v>
      </c>
      <c r="U66" s="277">
        <f>IF($E$14="自定义",K66,0.9)</f>
        <v>0.9</v>
      </c>
      <c r="V66" s="277">
        <f>IF($E$14="自定义",L66,1.87)</f>
        <v>1.87</v>
      </c>
      <c r="W66" s="277">
        <f t="shared" si="59"/>
        <v>0.12125</v>
      </c>
      <c r="X66" s="277">
        <f>IF($E$14="自定义",N66,1.87)</f>
        <v>1.87</v>
      </c>
      <c r="Y66" s="277">
        <f>IF($E$14="自定义",O66,0.9)</f>
        <v>0.9</v>
      </c>
      <c r="Z66" s="277">
        <f t="shared" si="60"/>
        <v>0.12125</v>
      </c>
      <c r="AM66" s="269"/>
      <c r="AN66" s="269"/>
      <c r="AO66" s="269"/>
      <c r="AP66" s="269"/>
    </row>
    <row r="67" spans="7:42" ht="26.1" customHeight="1">
      <c r="J67" s="277">
        <v>45</v>
      </c>
      <c r="K67" s="285">
        <v>0.98</v>
      </c>
      <c r="L67" s="285">
        <v>1.91</v>
      </c>
      <c r="M67" s="277">
        <f t="shared" si="57"/>
        <v>0.11625000000000001</v>
      </c>
      <c r="N67" s="274">
        <v>2</v>
      </c>
      <c r="O67" s="274">
        <v>1</v>
      </c>
      <c r="P67" s="277">
        <f t="shared" si="58"/>
        <v>0.125</v>
      </c>
      <c r="R67" s="263"/>
      <c r="T67" s="277">
        <v>45</v>
      </c>
      <c r="U67" s="277">
        <f>IF($E$14="自定义",K67,0.98)</f>
        <v>0.98</v>
      </c>
      <c r="V67" s="277">
        <f>IF($E$14="自定义",L67,1.91)</f>
        <v>1.91</v>
      </c>
      <c r="W67" s="277">
        <f t="shared" si="59"/>
        <v>0.11625000000000001</v>
      </c>
      <c r="X67" s="277">
        <f>IF($E$14="自定义",N67,2)</f>
        <v>2</v>
      </c>
      <c r="Y67" s="277">
        <f>IF($E$14="自定义",O67,1)</f>
        <v>1</v>
      </c>
      <c r="Z67" s="277">
        <f t="shared" si="60"/>
        <v>0.125</v>
      </c>
      <c r="AM67" s="269"/>
      <c r="AN67" s="269"/>
      <c r="AO67" s="269"/>
      <c r="AP67" s="269"/>
    </row>
    <row r="68" spans="7:42" ht="26.1" customHeight="1">
      <c r="J68" s="277">
        <v>50</v>
      </c>
      <c r="K68" s="285">
        <v>1.07</v>
      </c>
      <c r="L68" s="285">
        <v>1.86</v>
      </c>
      <c r="M68" s="277">
        <f t="shared" si="57"/>
        <v>9.8750000000000004E-2</v>
      </c>
      <c r="N68" s="274">
        <v>2</v>
      </c>
      <c r="O68" s="274">
        <v>1.1200000000000001</v>
      </c>
      <c r="P68" s="277">
        <f t="shared" si="58"/>
        <v>0.11</v>
      </c>
      <c r="R68" s="263"/>
      <c r="T68" s="277">
        <v>50</v>
      </c>
      <c r="U68" s="277">
        <f>IF($E$14="自定义",K68,1.07)</f>
        <v>1.07</v>
      </c>
      <c r="V68" s="277">
        <f>IF($E$14="自定义",L68,1.86)</f>
        <v>1.86</v>
      </c>
      <c r="W68" s="277">
        <f t="shared" si="59"/>
        <v>9.8750000000000004E-2</v>
      </c>
      <c r="X68" s="277">
        <f>IF($E$14="自定义",N68,2)</f>
        <v>2</v>
      </c>
      <c r="Y68" s="277">
        <f>IF($E$14="自定义",O68,1.12)</f>
        <v>1.1200000000000001</v>
      </c>
      <c r="Z68" s="277">
        <f t="shared" si="60"/>
        <v>0.11</v>
      </c>
      <c r="AM68" s="269"/>
      <c r="AN68" s="269"/>
      <c r="AO68" s="269"/>
      <c r="AP68" s="269"/>
    </row>
    <row r="69" spans="7:42" ht="26.1" customHeight="1">
      <c r="J69" s="277">
        <v>55</v>
      </c>
      <c r="K69" s="285">
        <v>1.07</v>
      </c>
      <c r="L69" s="285">
        <v>1.79</v>
      </c>
      <c r="M69" s="277">
        <f t="shared" si="57"/>
        <v>0.09</v>
      </c>
      <c r="N69" s="274">
        <v>2</v>
      </c>
      <c r="O69" s="274">
        <v>1.2</v>
      </c>
      <c r="P69" s="277">
        <f t="shared" si="58"/>
        <v>0.1</v>
      </c>
      <c r="R69" s="263"/>
      <c r="T69" s="277">
        <v>55</v>
      </c>
      <c r="U69" s="277">
        <f>IF($E$14="自定义",K69,1.07)</f>
        <v>1.07</v>
      </c>
      <c r="V69" s="277">
        <f>IF($E$14="自定义",L69,1.79)</f>
        <v>1.79</v>
      </c>
      <c r="W69" s="277">
        <f t="shared" si="59"/>
        <v>0.09</v>
      </c>
      <c r="X69" s="277">
        <f>IF($E$14="自定义",N69,2)</f>
        <v>2</v>
      </c>
      <c r="Y69" s="277">
        <f>IF($E$14="自定义",O69,1.2)</f>
        <v>1.2</v>
      </c>
      <c r="Z69" s="277">
        <f t="shared" si="60"/>
        <v>0.1</v>
      </c>
      <c r="AM69" s="269"/>
      <c r="AN69" s="269"/>
      <c r="AO69" s="269"/>
      <c r="AP69" s="269"/>
    </row>
    <row r="70" spans="7:42" ht="26.1" customHeight="1">
      <c r="J70" s="277">
        <v>60</v>
      </c>
      <c r="K70" s="285">
        <v>1.1200000000000001</v>
      </c>
      <c r="L70" s="285">
        <v>1.77</v>
      </c>
      <c r="M70" s="277">
        <f t="shared" si="57"/>
        <v>8.1250000000000003E-2</v>
      </c>
      <c r="N70" s="274">
        <v>2</v>
      </c>
      <c r="O70" s="274">
        <v>1.22</v>
      </c>
      <c r="P70" s="277">
        <f t="shared" si="58"/>
        <v>9.7500000000000003E-2</v>
      </c>
      <c r="R70" s="263"/>
      <c r="T70" s="277">
        <v>60</v>
      </c>
      <c r="U70" s="277">
        <f>IF($E$14="自定义",K70,1.12)</f>
        <v>1.1200000000000001</v>
      </c>
      <c r="V70" s="277">
        <f>IF($E$14="自定义",L70,1.77)</f>
        <v>1.77</v>
      </c>
      <c r="W70" s="277">
        <f t="shared" si="59"/>
        <v>8.1250000000000003E-2</v>
      </c>
      <c r="X70" s="277">
        <f>IF($E$14="自定义",N70,2)</f>
        <v>2</v>
      </c>
      <c r="Y70" s="277">
        <f>IF($E$14="自定义",O70,1.22)</f>
        <v>1.22</v>
      </c>
      <c r="Z70" s="277">
        <f t="shared" si="60"/>
        <v>9.7500000000000003E-2</v>
      </c>
      <c r="AM70" s="269"/>
      <c r="AN70" s="269"/>
      <c r="AO70" s="269"/>
      <c r="AP70" s="269"/>
    </row>
    <row r="71" spans="7:42" ht="26.1" customHeight="1">
      <c r="J71" s="283" t="s">
        <v>253</v>
      </c>
      <c r="R71" s="263"/>
      <c r="Z71" s="263"/>
      <c r="AM71" s="269"/>
      <c r="AN71" s="269"/>
      <c r="AO71" s="269"/>
      <c r="AP71" s="269"/>
    </row>
    <row r="72" spans="7:42" ht="26.1" customHeight="1">
      <c r="J72" s="272" t="s">
        <v>262</v>
      </c>
      <c r="K72" s="398" t="s">
        <v>255</v>
      </c>
      <c r="L72" s="399"/>
      <c r="M72" s="400"/>
      <c r="N72" s="401" t="s">
        <v>256</v>
      </c>
      <c r="O72" s="402"/>
      <c r="P72" s="403"/>
      <c r="R72" s="263"/>
      <c r="T72" s="272" t="s">
        <v>262</v>
      </c>
      <c r="U72" s="398" t="s">
        <v>255</v>
      </c>
      <c r="V72" s="399"/>
      <c r="W72" s="400"/>
      <c r="X72" s="398" t="s">
        <v>256</v>
      </c>
      <c r="Y72" s="399"/>
      <c r="Z72" s="400"/>
      <c r="AM72" s="269"/>
      <c r="AN72" s="269"/>
      <c r="AO72" s="269"/>
      <c r="AP72" s="269"/>
    </row>
    <row r="73" spans="7:42" ht="26.1" customHeight="1">
      <c r="G73" s="277" t="s">
        <v>258</v>
      </c>
      <c r="H73" s="277" t="s">
        <v>259</v>
      </c>
      <c r="I73" s="277" t="s">
        <v>260</v>
      </c>
      <c r="J73" s="284" t="s">
        <v>257</v>
      </c>
      <c r="K73" s="277" t="s">
        <v>258</v>
      </c>
      <c r="L73" s="277" t="s">
        <v>259</v>
      </c>
      <c r="M73" s="277" t="s">
        <v>260</v>
      </c>
      <c r="N73" s="277" t="s">
        <v>258</v>
      </c>
      <c r="O73" s="277" t="s">
        <v>259</v>
      </c>
      <c r="P73" s="277" t="s">
        <v>260</v>
      </c>
      <c r="Q73" s="277" t="s">
        <v>258</v>
      </c>
      <c r="R73" s="277" t="s">
        <v>259</v>
      </c>
      <c r="S73" s="277" t="s">
        <v>260</v>
      </c>
      <c r="T73" s="286" t="s">
        <v>261</v>
      </c>
      <c r="U73" s="277" t="s">
        <v>258</v>
      </c>
      <c r="V73" s="277" t="s">
        <v>259</v>
      </c>
      <c r="W73" s="277" t="s">
        <v>260</v>
      </c>
      <c r="X73" s="277" t="s">
        <v>258</v>
      </c>
      <c r="Y73" s="277" t="s">
        <v>259</v>
      </c>
      <c r="Z73" s="277" t="s">
        <v>260</v>
      </c>
      <c r="AM73" s="269"/>
      <c r="AN73" s="269"/>
      <c r="AO73" s="269"/>
      <c r="AP73" s="269"/>
    </row>
    <row r="74" spans="7:42" ht="26.1" customHeight="1">
      <c r="G74" s="288">
        <v>0.27</v>
      </c>
      <c r="H74" s="288">
        <v>0.39</v>
      </c>
      <c r="I74" s="288">
        <f>(H74-G74)/8</f>
        <v>1.4999999999999999E-2</v>
      </c>
      <c r="J74" s="281">
        <v>0</v>
      </c>
      <c r="K74" s="289">
        <v>0.05</v>
      </c>
      <c r="L74" s="289">
        <v>0.05</v>
      </c>
      <c r="M74" s="281">
        <f t="shared" ref="M74:M86" si="61">ABS((L74-K74)/8)</f>
        <v>0</v>
      </c>
      <c r="N74" s="289">
        <v>0.05</v>
      </c>
      <c r="O74" s="289">
        <v>0.05</v>
      </c>
      <c r="P74" s="281">
        <f>ABS((O74-N74)/8)</f>
        <v>0</v>
      </c>
      <c r="Q74" s="288">
        <v>-0.64</v>
      </c>
      <c r="R74" s="288">
        <v>-0.05</v>
      </c>
      <c r="S74" s="288">
        <f>(Q74-R74)/8</f>
        <v>-7.3749999999999996E-2</v>
      </c>
      <c r="T74" s="277">
        <v>0</v>
      </c>
      <c r="U74" s="277">
        <f>IF($E$14="自定义",K74,0.05)</f>
        <v>0.05</v>
      </c>
      <c r="V74" s="277">
        <f>IF($E$14="自定义",L74,0.05)</f>
        <v>0.05</v>
      </c>
      <c r="W74" s="277">
        <f t="shared" ref="W74:W86" si="62">ABS((V74-U74)/8)</f>
        <v>0</v>
      </c>
      <c r="X74" s="277">
        <f>IF($E$14="自定义",N74,0.05)</f>
        <v>0.05</v>
      </c>
      <c r="Y74" s="277">
        <f>IF($E$14="自定义",O74,0.05)</f>
        <v>0.05</v>
      </c>
      <c r="Z74" s="277">
        <f>ABS((Y74-X74)/8)</f>
        <v>0</v>
      </c>
      <c r="AM74" s="269"/>
      <c r="AN74" s="269"/>
      <c r="AO74" s="269"/>
      <c r="AP74" s="269"/>
    </row>
    <row r="75" spans="7:42" ht="26.1" customHeight="1">
      <c r="G75" s="288">
        <v>0.38</v>
      </c>
      <c r="H75" s="288">
        <v>0.95</v>
      </c>
      <c r="I75" s="288">
        <f t="shared" ref="I75:I86" si="63">(H75-G75)/8</f>
        <v>7.1249999999999994E-2</v>
      </c>
      <c r="J75" s="281">
        <v>5</v>
      </c>
      <c r="K75" s="289">
        <v>0.27</v>
      </c>
      <c r="L75" s="289">
        <v>0.69</v>
      </c>
      <c r="M75" s="281">
        <f t="shared" si="61"/>
        <v>5.2499999999999998E-2</v>
      </c>
      <c r="N75" s="289">
        <v>0.69</v>
      </c>
      <c r="O75" s="289">
        <v>0.27</v>
      </c>
      <c r="P75" s="281">
        <f t="shared" ref="P75:P86" si="64">ABS((O75-N75)/8)</f>
        <v>5.2499999999999998E-2</v>
      </c>
      <c r="Q75" s="288">
        <v>-1.19</v>
      </c>
      <c r="R75" s="288">
        <v>-0.16</v>
      </c>
      <c r="S75" s="288">
        <f t="shared" ref="S75:S86" si="65">(Q75-R75)/8</f>
        <v>-0.12875</v>
      </c>
      <c r="T75" s="277">
        <v>5</v>
      </c>
      <c r="U75" s="277">
        <f>IF($E$14="自定义",K75,0.27)</f>
        <v>0.27</v>
      </c>
      <c r="V75" s="277">
        <f>IF($E$14="自定义",L75,0.69)</f>
        <v>0.69</v>
      </c>
      <c r="W75" s="277">
        <f t="shared" si="62"/>
        <v>5.2499999999999998E-2</v>
      </c>
      <c r="X75" s="277">
        <f>IF($E$14="自定义",N75,0.69)</f>
        <v>0.69</v>
      </c>
      <c r="Y75" s="277">
        <f>IF($E$14="自定义",O75,0.27)</f>
        <v>0.27</v>
      </c>
      <c r="Z75" s="277">
        <f t="shared" ref="Z75:Z86" si="66">ABS((Y75-X75)/8)</f>
        <v>5.2499999999999998E-2</v>
      </c>
      <c r="AM75" s="269"/>
      <c r="AN75" s="269"/>
      <c r="AO75" s="269"/>
      <c r="AP75" s="269"/>
    </row>
    <row r="76" spans="7:42" ht="26.1" customHeight="1">
      <c r="G76" s="263">
        <v>0.53</v>
      </c>
      <c r="H76" s="263">
        <v>1.28</v>
      </c>
      <c r="I76" s="263">
        <f t="shared" si="63"/>
        <v>9.375E-2</v>
      </c>
      <c r="J76" s="277">
        <v>10</v>
      </c>
      <c r="K76" s="285">
        <v>0.47</v>
      </c>
      <c r="L76" s="285">
        <v>1.18</v>
      </c>
      <c r="M76" s="277">
        <f t="shared" si="61"/>
        <v>8.8749999999999996E-2</v>
      </c>
      <c r="N76" s="274">
        <v>1.18</v>
      </c>
      <c r="O76" s="274">
        <v>0.47</v>
      </c>
      <c r="P76" s="277">
        <f t="shared" si="64"/>
        <v>8.8749999999999996E-2</v>
      </c>
      <c r="Q76" s="263">
        <v>-1.36</v>
      </c>
      <c r="R76" s="263">
        <v>-0.34</v>
      </c>
      <c r="S76" s="263">
        <f t="shared" si="65"/>
        <v>-0.1275</v>
      </c>
      <c r="T76" s="277">
        <v>10</v>
      </c>
      <c r="U76" s="277">
        <f>IF($E$14="自定义",K76,0.47)</f>
        <v>0.47</v>
      </c>
      <c r="V76" s="277">
        <f>IF($E$14="自定义",L76,1.18)</f>
        <v>1.18</v>
      </c>
      <c r="W76" s="277">
        <f t="shared" si="62"/>
        <v>8.8749999999999996E-2</v>
      </c>
      <c r="X76" s="277">
        <f>IF($E$14="自定义",N76,1.18)</f>
        <v>1.18</v>
      </c>
      <c r="Y76" s="277">
        <f>IF($E$14="自定义",O76,0.47)</f>
        <v>0.47</v>
      </c>
      <c r="Z76" s="277">
        <f t="shared" si="66"/>
        <v>8.8749999999999996E-2</v>
      </c>
      <c r="AM76" s="269"/>
      <c r="AN76" s="269"/>
      <c r="AO76" s="269"/>
      <c r="AP76" s="269"/>
    </row>
    <row r="77" spans="7:42" ht="26.1" customHeight="1">
      <c r="I77" s="263">
        <f t="shared" si="63"/>
        <v>0</v>
      </c>
      <c r="J77" s="277">
        <v>15</v>
      </c>
      <c r="K77" s="285">
        <v>0.63</v>
      </c>
      <c r="L77" s="285">
        <v>1.3</v>
      </c>
      <c r="M77" s="277">
        <f t="shared" si="61"/>
        <v>8.3750000000000005E-2</v>
      </c>
      <c r="N77" s="274">
        <v>1.3</v>
      </c>
      <c r="O77" s="274">
        <v>0.63</v>
      </c>
      <c r="P77" s="277">
        <f t="shared" si="64"/>
        <v>8.3750000000000005E-2</v>
      </c>
      <c r="R77" s="263"/>
      <c r="S77" s="263">
        <f t="shared" si="65"/>
        <v>0</v>
      </c>
      <c r="T77" s="277">
        <v>15</v>
      </c>
      <c r="U77" s="277">
        <f>IF($E$14="自定义",K77,0.63)</f>
        <v>0.63</v>
      </c>
      <c r="V77" s="277">
        <f>IF($E$14="自定义",L77,1.3)</f>
        <v>1.3</v>
      </c>
      <c r="W77" s="277">
        <f t="shared" si="62"/>
        <v>8.3750000000000005E-2</v>
      </c>
      <c r="X77" s="277">
        <f>IF($E$14="自定义",N77,1.3)</f>
        <v>1.3</v>
      </c>
      <c r="Y77" s="277">
        <f>IF($E$14="自定义",O77,0.63)</f>
        <v>0.63</v>
      </c>
      <c r="Z77" s="277">
        <f t="shared" si="66"/>
        <v>8.3750000000000005E-2</v>
      </c>
      <c r="AM77" s="269"/>
      <c r="AN77" s="269"/>
      <c r="AO77" s="269"/>
      <c r="AP77" s="269"/>
    </row>
    <row r="78" spans="7:42" ht="26.1" customHeight="1">
      <c r="G78" s="263">
        <v>0.69</v>
      </c>
      <c r="H78" s="263">
        <v>1.49</v>
      </c>
      <c r="I78" s="263">
        <f t="shared" si="63"/>
        <v>0.1</v>
      </c>
      <c r="J78" s="277">
        <v>20</v>
      </c>
      <c r="K78" s="285">
        <v>0.73</v>
      </c>
      <c r="L78" s="285">
        <v>1.41</v>
      </c>
      <c r="M78" s="277">
        <f t="shared" si="61"/>
        <v>8.5000000000000006E-2</v>
      </c>
      <c r="N78" s="274">
        <v>1.41</v>
      </c>
      <c r="O78" s="274">
        <v>0.73</v>
      </c>
      <c r="P78" s="277">
        <f t="shared" si="64"/>
        <v>8.5000000000000006E-2</v>
      </c>
      <c r="Q78" s="263">
        <v>-1.42</v>
      </c>
      <c r="R78" s="263">
        <v>-0.63</v>
      </c>
      <c r="S78" s="263">
        <f t="shared" si="65"/>
        <v>-9.8750000000000004E-2</v>
      </c>
      <c r="T78" s="277">
        <v>20</v>
      </c>
      <c r="U78" s="277">
        <f>IF($E$14="自定义",K78,0.73)</f>
        <v>0.73</v>
      </c>
      <c r="V78" s="277">
        <f>IF($E$14="自定义",L78,1.41)</f>
        <v>1.41</v>
      </c>
      <c r="W78" s="277">
        <f t="shared" si="62"/>
        <v>8.5000000000000006E-2</v>
      </c>
      <c r="X78" s="277">
        <f>IF($E$14="自定义",N78,1.41)</f>
        <v>1.41</v>
      </c>
      <c r="Y78" s="277">
        <f>IF($E$14="自定义",O78,0.73)</f>
        <v>0.73</v>
      </c>
      <c r="Z78" s="277">
        <f t="shared" si="66"/>
        <v>8.5000000000000006E-2</v>
      </c>
      <c r="AM78" s="269"/>
      <c r="AN78" s="269"/>
      <c r="AO78" s="269"/>
      <c r="AP78" s="269"/>
    </row>
    <row r="79" spans="7:42" ht="26.1" customHeight="1">
      <c r="I79" s="263">
        <f t="shared" si="63"/>
        <v>0</v>
      </c>
      <c r="J79" s="277">
        <v>25</v>
      </c>
      <c r="K79" s="285">
        <v>0.8</v>
      </c>
      <c r="L79" s="285">
        <v>1.5</v>
      </c>
      <c r="M79" s="277">
        <f t="shared" si="61"/>
        <v>8.7499999999999994E-2</v>
      </c>
      <c r="N79" s="274">
        <v>1.5</v>
      </c>
      <c r="O79" s="274">
        <v>0.8</v>
      </c>
      <c r="P79" s="277">
        <f t="shared" si="64"/>
        <v>8.7499999999999994E-2</v>
      </c>
      <c r="R79" s="263"/>
      <c r="S79" s="263">
        <f t="shared" si="65"/>
        <v>0</v>
      </c>
      <c r="T79" s="277">
        <v>25</v>
      </c>
      <c r="U79" s="277">
        <f>IF($E$14="自定义",K79,0.8)</f>
        <v>0.8</v>
      </c>
      <c r="V79" s="277">
        <f>IF($E$14="自定义",L79,1.5)</f>
        <v>1.5</v>
      </c>
      <c r="W79" s="277">
        <f t="shared" si="62"/>
        <v>8.7499999999999994E-2</v>
      </c>
      <c r="X79" s="277">
        <f>IF($E$14="自定义",N79,1.5)</f>
        <v>1.5</v>
      </c>
      <c r="Y79" s="277">
        <f>IF($E$14="自定义",O79,0.8)</f>
        <v>0.8</v>
      </c>
      <c r="Z79" s="277">
        <f t="shared" si="66"/>
        <v>8.7499999999999994E-2</v>
      </c>
      <c r="AM79" s="269"/>
      <c r="AN79" s="269"/>
      <c r="AO79" s="269"/>
      <c r="AP79" s="269"/>
    </row>
    <row r="80" spans="7:42" ht="26.1" customHeight="1">
      <c r="G80" s="263">
        <v>0.9</v>
      </c>
      <c r="H80" s="263">
        <v>1.53</v>
      </c>
      <c r="I80" s="263">
        <f t="shared" si="63"/>
        <v>7.8750000000000001E-2</v>
      </c>
      <c r="J80" s="277">
        <v>30</v>
      </c>
      <c r="K80" s="285">
        <v>0.9</v>
      </c>
      <c r="L80" s="285">
        <v>1.66</v>
      </c>
      <c r="M80" s="277">
        <f t="shared" si="61"/>
        <v>9.5000000000000001E-2</v>
      </c>
      <c r="N80" s="274">
        <v>1.66</v>
      </c>
      <c r="O80" s="274">
        <v>0.9</v>
      </c>
      <c r="P80" s="277">
        <f t="shared" si="64"/>
        <v>9.5000000000000001E-2</v>
      </c>
      <c r="Q80" s="263">
        <v>-1.56</v>
      </c>
      <c r="R80" s="263">
        <v>-0.81</v>
      </c>
      <c r="S80" s="263">
        <f t="shared" si="65"/>
        <v>-9.375E-2</v>
      </c>
      <c r="T80" s="277">
        <v>30</v>
      </c>
      <c r="U80" s="277">
        <f>IF($E$14="自定义",K80,0.9)</f>
        <v>0.9</v>
      </c>
      <c r="V80" s="277">
        <f>IF($E$14="自定义",L80,1.66)</f>
        <v>1.66</v>
      </c>
      <c r="W80" s="277">
        <f t="shared" si="62"/>
        <v>9.5000000000000001E-2</v>
      </c>
      <c r="X80" s="277">
        <f>IF($E$14="自定义",N80,1.66)</f>
        <v>1.66</v>
      </c>
      <c r="Y80" s="277">
        <f>IF($E$14="自定义",O80,0.9)</f>
        <v>0.9</v>
      </c>
      <c r="Z80" s="277">
        <f t="shared" si="66"/>
        <v>9.5000000000000001E-2</v>
      </c>
      <c r="AM80" s="269"/>
      <c r="AN80" s="269"/>
      <c r="AO80" s="269"/>
      <c r="AP80" s="269"/>
    </row>
    <row r="81" spans="7:42" ht="26.1" customHeight="1">
      <c r="I81" s="263">
        <f t="shared" si="63"/>
        <v>0</v>
      </c>
      <c r="J81" s="277">
        <v>35</v>
      </c>
      <c r="K81" s="285">
        <v>0.93</v>
      </c>
      <c r="L81" s="285">
        <v>1.66</v>
      </c>
      <c r="M81" s="277">
        <f t="shared" si="61"/>
        <v>9.1249999999999998E-2</v>
      </c>
      <c r="N81" s="274">
        <v>1.66</v>
      </c>
      <c r="O81" s="274">
        <v>0.93</v>
      </c>
      <c r="P81" s="277">
        <f t="shared" si="64"/>
        <v>9.1249999999999998E-2</v>
      </c>
      <c r="R81" s="263"/>
      <c r="S81" s="263">
        <f t="shared" si="65"/>
        <v>0</v>
      </c>
      <c r="T81" s="277">
        <v>35</v>
      </c>
      <c r="U81" s="277">
        <f>IF($E$14="自定义",K81,0.93)</f>
        <v>0.93</v>
      </c>
      <c r="V81" s="277">
        <f t="shared" ref="V81:V86" si="67">IF($E$14="自定义",L81,1.66)</f>
        <v>1.66</v>
      </c>
      <c r="W81" s="277">
        <f t="shared" si="62"/>
        <v>9.1249999999999998E-2</v>
      </c>
      <c r="X81" s="277">
        <f>IF($E$14="自定义",N81,1.66)</f>
        <v>1.66</v>
      </c>
      <c r="Y81" s="277">
        <f>IF($E$14="自定义",O81,0.93)</f>
        <v>0.93</v>
      </c>
      <c r="Z81" s="277">
        <f t="shared" si="66"/>
        <v>9.1249999999999998E-2</v>
      </c>
      <c r="AM81" s="269"/>
      <c r="AN81" s="269"/>
      <c r="AO81" s="269"/>
      <c r="AP81" s="269"/>
    </row>
    <row r="82" spans="7:42" ht="26.1" customHeight="1">
      <c r="I82" s="263">
        <f t="shared" si="63"/>
        <v>0</v>
      </c>
      <c r="J82" s="277">
        <v>40</v>
      </c>
      <c r="K82" s="285">
        <v>0.92</v>
      </c>
      <c r="L82" s="285">
        <v>1.66</v>
      </c>
      <c r="M82" s="277">
        <f t="shared" si="61"/>
        <v>9.2499999999999999E-2</v>
      </c>
      <c r="N82" s="274">
        <v>1.74</v>
      </c>
      <c r="O82" s="274">
        <v>1.1000000000000001</v>
      </c>
      <c r="P82" s="277">
        <f t="shared" si="64"/>
        <v>0.08</v>
      </c>
      <c r="R82" s="263"/>
      <c r="S82" s="263">
        <f t="shared" si="65"/>
        <v>0</v>
      </c>
      <c r="T82" s="277">
        <v>40</v>
      </c>
      <c r="U82" s="277">
        <f>IF($E$14="自定义",K82,0.92)</f>
        <v>0.92</v>
      </c>
      <c r="V82" s="277">
        <f t="shared" si="67"/>
        <v>1.66</v>
      </c>
      <c r="W82" s="277">
        <f t="shared" si="62"/>
        <v>9.2499999999999999E-2</v>
      </c>
      <c r="X82" s="277">
        <f>IF($E$14="自定义",N82,1.74)</f>
        <v>1.74</v>
      </c>
      <c r="Y82" s="277">
        <f>IF($E$14="自定义",O82,1.1)</f>
        <v>1.1000000000000001</v>
      </c>
      <c r="Z82" s="277">
        <f t="shared" si="66"/>
        <v>0.08</v>
      </c>
      <c r="AM82" s="269"/>
      <c r="AN82" s="269"/>
      <c r="AO82" s="269"/>
      <c r="AP82" s="269"/>
    </row>
    <row r="83" spans="7:42" ht="26.1" customHeight="1">
      <c r="G83" s="263">
        <v>1.05</v>
      </c>
      <c r="H83" s="263">
        <v>1.46</v>
      </c>
      <c r="I83" s="263">
        <f t="shared" si="63"/>
        <v>5.1249999999999997E-2</v>
      </c>
      <c r="J83" s="277">
        <v>45</v>
      </c>
      <c r="K83" s="285">
        <v>1.08</v>
      </c>
      <c r="L83" s="285">
        <v>1.66</v>
      </c>
      <c r="M83" s="277">
        <f t="shared" si="61"/>
        <v>7.2499999999999995E-2</v>
      </c>
      <c r="N83" s="274">
        <v>1.74</v>
      </c>
      <c r="O83" s="274">
        <v>1.2</v>
      </c>
      <c r="P83" s="277">
        <f t="shared" si="64"/>
        <v>6.7500000000000004E-2</v>
      </c>
      <c r="Q83" s="263">
        <v>-1.71</v>
      </c>
      <c r="R83" s="263">
        <v>-1.1299999999999999</v>
      </c>
      <c r="S83" s="263">
        <f t="shared" si="65"/>
        <v>-7.2499999999999995E-2</v>
      </c>
      <c r="T83" s="277">
        <v>45</v>
      </c>
      <c r="U83" s="277">
        <f>IF($E$14="自定义",K83,1.08)</f>
        <v>1.08</v>
      </c>
      <c r="V83" s="277">
        <f t="shared" si="67"/>
        <v>1.66</v>
      </c>
      <c r="W83" s="277">
        <f t="shared" si="62"/>
        <v>7.2499999999999995E-2</v>
      </c>
      <c r="X83" s="277">
        <f t="shared" ref="X83:X86" si="68">IF($E$14="自定义",N83,1.74)</f>
        <v>1.74</v>
      </c>
      <c r="Y83" s="277">
        <f>IF($E$14="自定义",O83,1.2)</f>
        <v>1.2</v>
      </c>
      <c r="Z83" s="277">
        <f t="shared" si="66"/>
        <v>6.7500000000000004E-2</v>
      </c>
      <c r="AM83" s="269"/>
      <c r="AN83" s="269"/>
      <c r="AO83" s="269"/>
      <c r="AP83" s="269"/>
    </row>
    <row r="84" spans="7:42" ht="26.1" customHeight="1">
      <c r="I84" s="263">
        <f t="shared" si="63"/>
        <v>0</v>
      </c>
      <c r="J84" s="277">
        <v>50</v>
      </c>
      <c r="K84" s="285">
        <v>1.08</v>
      </c>
      <c r="L84" s="285">
        <v>1.66</v>
      </c>
      <c r="M84" s="277">
        <f t="shared" si="61"/>
        <v>7.2499999999999995E-2</v>
      </c>
      <c r="N84" s="274">
        <v>1.74</v>
      </c>
      <c r="O84" s="274">
        <v>1.2</v>
      </c>
      <c r="P84" s="277">
        <f t="shared" si="64"/>
        <v>6.7500000000000004E-2</v>
      </c>
      <c r="R84" s="263"/>
      <c r="S84" s="263">
        <f t="shared" si="65"/>
        <v>0</v>
      </c>
      <c r="T84" s="277">
        <v>50</v>
      </c>
      <c r="U84" s="277">
        <f>IF($E$14="自定义",K84,1.08)</f>
        <v>1.08</v>
      </c>
      <c r="V84" s="277">
        <f t="shared" si="67"/>
        <v>1.66</v>
      </c>
      <c r="W84" s="277">
        <f t="shared" si="62"/>
        <v>7.2499999999999995E-2</v>
      </c>
      <c r="X84" s="277">
        <f t="shared" si="68"/>
        <v>1.74</v>
      </c>
      <c r="Y84" s="277">
        <f t="shared" ref="Y84:Y86" si="69">IF($E$14="自定义",O84,1.2)</f>
        <v>1.2</v>
      </c>
      <c r="Z84" s="277">
        <f t="shared" si="66"/>
        <v>6.7500000000000004E-2</v>
      </c>
      <c r="AM84" s="269"/>
      <c r="AN84" s="269"/>
      <c r="AO84" s="269"/>
      <c r="AP84" s="269"/>
    </row>
    <row r="85" spans="7:42" ht="26.1" customHeight="1">
      <c r="I85" s="263">
        <f t="shared" si="63"/>
        <v>0</v>
      </c>
      <c r="J85" s="277">
        <v>55</v>
      </c>
      <c r="K85" s="285">
        <v>1.08</v>
      </c>
      <c r="L85" s="285">
        <v>1.66</v>
      </c>
      <c r="M85" s="277">
        <f t="shared" si="61"/>
        <v>7.2499999999999995E-2</v>
      </c>
      <c r="N85" s="274">
        <v>1.74</v>
      </c>
      <c r="O85" s="274">
        <v>1.2</v>
      </c>
      <c r="P85" s="277">
        <f t="shared" si="64"/>
        <v>6.7500000000000004E-2</v>
      </c>
      <c r="R85" s="263"/>
      <c r="S85" s="263">
        <f t="shared" si="65"/>
        <v>0</v>
      </c>
      <c r="T85" s="277">
        <v>55</v>
      </c>
      <c r="U85" s="277">
        <f>IF($E$14="自定义",K85,1.08)</f>
        <v>1.08</v>
      </c>
      <c r="V85" s="277">
        <f t="shared" si="67"/>
        <v>1.66</v>
      </c>
      <c r="W85" s="277">
        <f t="shared" si="62"/>
        <v>7.2499999999999995E-2</v>
      </c>
      <c r="X85" s="277">
        <f t="shared" si="68"/>
        <v>1.74</v>
      </c>
      <c r="Y85" s="277">
        <f t="shared" si="69"/>
        <v>1.2</v>
      </c>
      <c r="Z85" s="277">
        <f t="shared" si="66"/>
        <v>6.7500000000000004E-2</v>
      </c>
      <c r="AM85" s="269"/>
      <c r="AN85" s="269"/>
      <c r="AO85" s="269"/>
      <c r="AP85" s="269"/>
    </row>
    <row r="86" spans="7:42" ht="26.1" customHeight="1">
      <c r="G86" s="263">
        <v>1.17</v>
      </c>
      <c r="H86" s="263">
        <v>1.49</v>
      </c>
      <c r="I86" s="263">
        <f t="shared" si="63"/>
        <v>0.04</v>
      </c>
      <c r="J86" s="277">
        <v>60</v>
      </c>
      <c r="K86" s="285">
        <v>1.08</v>
      </c>
      <c r="L86" s="285">
        <v>1.66</v>
      </c>
      <c r="M86" s="277">
        <f t="shared" si="61"/>
        <v>7.2499999999999995E-2</v>
      </c>
      <c r="N86" s="274">
        <v>1.74</v>
      </c>
      <c r="O86" s="274">
        <v>1.2</v>
      </c>
      <c r="P86" s="277">
        <f t="shared" si="64"/>
        <v>6.7500000000000004E-2</v>
      </c>
      <c r="Q86" s="263">
        <v>-1.63</v>
      </c>
      <c r="R86" s="263">
        <v>-1.32</v>
      </c>
      <c r="S86" s="263">
        <f t="shared" si="65"/>
        <v>-3.875E-2</v>
      </c>
      <c r="T86" s="277">
        <v>60</v>
      </c>
      <c r="U86" s="277">
        <f>IF($E$14="自定义",K86,1.08)</f>
        <v>1.08</v>
      </c>
      <c r="V86" s="277">
        <f t="shared" si="67"/>
        <v>1.66</v>
      </c>
      <c r="W86" s="277">
        <f t="shared" si="62"/>
        <v>7.2499999999999995E-2</v>
      </c>
      <c r="X86" s="277">
        <f t="shared" si="68"/>
        <v>1.74</v>
      </c>
      <c r="Y86" s="277">
        <f t="shared" si="69"/>
        <v>1.2</v>
      </c>
      <c r="Z86" s="277">
        <f t="shared" si="66"/>
        <v>6.7500000000000004E-2</v>
      </c>
      <c r="AM86" s="269"/>
      <c r="AN86" s="269"/>
      <c r="AO86" s="269"/>
      <c r="AP86" s="269"/>
    </row>
    <row r="87" spans="7:42" ht="26.1" customHeight="1">
      <c r="R87" s="263"/>
      <c r="Z87" s="263"/>
      <c r="AM87" s="269"/>
      <c r="AN87" s="269"/>
      <c r="AO87" s="269"/>
      <c r="AP87" s="269"/>
    </row>
    <row r="88" spans="7:42" ht="26.1" customHeight="1">
      <c r="R88" s="263"/>
      <c r="Z88" s="263"/>
      <c r="AM88" s="269"/>
      <c r="AN88" s="269"/>
      <c r="AO88" s="269"/>
      <c r="AP88" s="269"/>
    </row>
    <row r="89" spans="7:42" ht="26.1" customHeight="1">
      <c r="R89" s="263"/>
      <c r="Z89" s="263"/>
      <c r="AM89" s="269"/>
      <c r="AN89" s="269"/>
      <c r="AO89" s="269"/>
      <c r="AP89" s="269"/>
    </row>
    <row r="90" spans="7:42" ht="26.1" customHeight="1">
      <c r="R90" s="263"/>
      <c r="Z90" s="263"/>
      <c r="AM90" s="269"/>
      <c r="AN90" s="269"/>
      <c r="AO90" s="269"/>
      <c r="AP90" s="269"/>
    </row>
    <row r="91" spans="7:42" ht="26.1" customHeight="1">
      <c r="R91" s="263"/>
      <c r="Z91" s="263"/>
      <c r="AM91" s="269"/>
      <c r="AN91" s="269"/>
      <c r="AO91" s="269"/>
      <c r="AP91" s="269"/>
    </row>
    <row r="92" spans="7:42" ht="26.1" customHeight="1">
      <c r="R92" s="263"/>
      <c r="Z92" s="263"/>
      <c r="AM92" s="269"/>
      <c r="AN92" s="269"/>
      <c r="AO92" s="269"/>
      <c r="AP92" s="269"/>
    </row>
    <row r="93" spans="7:42" ht="26.1" customHeight="1">
      <c r="R93" s="263"/>
      <c r="Z93" s="263"/>
      <c r="AM93" s="269"/>
      <c r="AN93" s="269"/>
      <c r="AO93" s="269"/>
      <c r="AP93" s="269"/>
    </row>
    <row r="94" spans="7:42" ht="26.1" customHeight="1">
      <c r="R94" s="263"/>
      <c r="Z94" s="263"/>
      <c r="AM94" s="269"/>
      <c r="AN94" s="269"/>
      <c r="AO94" s="269"/>
      <c r="AP94" s="269"/>
    </row>
    <row r="95" spans="7:42" ht="26.1" customHeight="1">
      <c r="R95" s="263"/>
      <c r="Z95" s="263"/>
    </row>
    <row r="96" spans="7:42" ht="26.1" customHeight="1">
      <c r="R96" s="263"/>
      <c r="Z96" s="263"/>
    </row>
    <row r="97" s="263" customFormat="1" ht="26.1" customHeight="1"/>
    <row r="98" s="263" customFormat="1" ht="26.1" customHeight="1"/>
    <row r="99" s="263" customFormat="1" ht="26.1" customHeight="1"/>
    <row r="100" s="263" customFormat="1" ht="26.1" customHeight="1"/>
    <row r="101" s="263" customFormat="1" ht="26.1" customHeight="1"/>
    <row r="102" s="263" customFormat="1" ht="26.1" customHeight="1"/>
    <row r="103" s="263" customFormat="1" ht="26.1" customHeight="1"/>
    <row r="104" s="263" customFormat="1" ht="26.1" customHeight="1"/>
    <row r="105" s="263" customFormat="1" ht="26.1" customHeight="1"/>
    <row r="106" s="263" customFormat="1" ht="26.1" customHeight="1"/>
    <row r="107" s="263" customFormat="1" ht="26.1" customHeight="1"/>
    <row r="108" s="263" customFormat="1" ht="26.1" customHeight="1"/>
    <row r="109" s="263" customFormat="1" ht="26.1" customHeight="1"/>
    <row r="110" s="263" customFormat="1" ht="26.1" customHeight="1"/>
    <row r="111" s="263" customFormat="1" ht="26.1" customHeight="1"/>
    <row r="112" s="263" customFormat="1" ht="26.1" customHeight="1"/>
    <row r="113" s="263" customFormat="1" ht="26.1" customHeight="1"/>
    <row r="114" s="263" customFormat="1" ht="26.1" customHeight="1"/>
    <row r="115" s="263" customFormat="1" ht="26.1" customHeight="1"/>
    <row r="116" s="263" customFormat="1" ht="26.1" customHeight="1"/>
    <row r="117" s="263" customFormat="1" ht="26.1" customHeight="1"/>
    <row r="118" s="263" customFormat="1" ht="26.1" customHeight="1"/>
    <row r="119" s="263" customFormat="1" ht="26.1" customHeight="1"/>
    <row r="120" s="263" customFormat="1" ht="26.1" customHeight="1"/>
    <row r="121" s="263" customFormat="1" ht="26.1" customHeight="1"/>
    <row r="122" s="263" customFormat="1" ht="26.1" customHeight="1"/>
    <row r="123" s="263" customFormat="1" ht="26.1" customHeight="1"/>
    <row r="124" s="263" customFormat="1" ht="26.1" customHeight="1"/>
    <row r="125" s="263" customFormat="1" ht="26.1" customHeight="1"/>
    <row r="126" s="263" customFormat="1" ht="26.1" customHeight="1"/>
    <row r="127" s="263" customFormat="1" ht="26.1" customHeight="1"/>
    <row r="128" s="263" customFormat="1" ht="26.1" customHeight="1"/>
    <row r="129" spans="11:26" ht="26.1" customHeight="1">
      <c r="R129" s="263"/>
      <c r="Z129" s="263"/>
    </row>
    <row r="130" spans="11:26" ht="26.1" customHeight="1">
      <c r="K130" s="69"/>
      <c r="R130" s="263"/>
      <c r="Z130" s="263"/>
    </row>
    <row r="131" spans="11:26" ht="26.1" customHeight="1">
      <c r="R131" s="263"/>
      <c r="Z131" s="263"/>
    </row>
    <row r="132" spans="11:26" ht="26.1" customHeight="1">
      <c r="R132" s="263"/>
      <c r="Z132" s="263"/>
    </row>
    <row r="133" spans="11:26" ht="26.1" customHeight="1">
      <c r="R133" s="263"/>
      <c r="Z133" s="263"/>
    </row>
    <row r="134" spans="11:26" ht="26.1" customHeight="1">
      <c r="R134" s="263"/>
      <c r="Z134" s="263"/>
    </row>
    <row r="135" spans="11:26" ht="26.1" customHeight="1">
      <c r="R135" s="263"/>
      <c r="Z135" s="263"/>
    </row>
    <row r="136" spans="11:26" ht="26.1" customHeight="1">
      <c r="R136" s="263"/>
      <c r="Z136" s="263"/>
    </row>
    <row r="137" spans="11:26" ht="26.1" customHeight="1">
      <c r="R137" s="263"/>
      <c r="Z137" s="263"/>
    </row>
    <row r="138" spans="11:26" ht="26.1" customHeight="1">
      <c r="R138" s="263"/>
      <c r="Z138" s="263"/>
    </row>
    <row r="139" spans="11:26" ht="26.1" customHeight="1">
      <c r="R139" s="263"/>
      <c r="Z139" s="263"/>
    </row>
    <row r="140" spans="11:26" ht="26.1" customHeight="1">
      <c r="R140" s="263"/>
      <c r="Z140" s="263"/>
    </row>
    <row r="141" spans="11:26" ht="26.1" customHeight="1">
      <c r="R141" s="263"/>
      <c r="Z141" s="263"/>
    </row>
    <row r="142" spans="11:26" ht="26.1" customHeight="1">
      <c r="R142" s="263"/>
      <c r="Z142" s="263"/>
    </row>
    <row r="143" spans="11:26" ht="26.1" customHeight="1">
      <c r="R143" s="263"/>
      <c r="Z143" s="263"/>
    </row>
    <row r="144" spans="11:26" ht="26.1" customHeight="1">
      <c r="R144" s="263"/>
      <c r="Z144" s="263"/>
    </row>
    <row r="145" s="263" customFormat="1" ht="26.1" customHeight="1"/>
    <row r="146" s="263" customFormat="1" ht="26.1" customHeight="1"/>
    <row r="147" s="263" customFormat="1" ht="26.1" customHeight="1"/>
    <row r="148" s="263" customFormat="1" ht="26.1" customHeight="1"/>
    <row r="149" s="263" customFormat="1" ht="26.1" customHeight="1"/>
    <row r="150" s="263" customFormat="1" ht="26.1" customHeight="1"/>
    <row r="151" s="263" customFormat="1" ht="26.1" customHeight="1"/>
    <row r="152" s="263" customFormat="1" ht="26.1" customHeight="1"/>
    <row r="153" s="263" customFormat="1" ht="26.1" customHeight="1"/>
    <row r="154" s="263" customFormat="1" ht="26.1" customHeight="1"/>
    <row r="155" s="263" customFormat="1" ht="26.1" customHeight="1"/>
    <row r="156" s="263" customFormat="1" ht="26.1" customHeight="1"/>
    <row r="157" s="263" customFormat="1" ht="26.1" customHeight="1"/>
    <row r="158" s="263" customFormat="1" ht="26.1" customHeight="1"/>
    <row r="159" s="263" customFormat="1" ht="26.1" customHeight="1"/>
    <row r="160" s="263" customFormat="1" ht="26.1" customHeight="1"/>
    <row r="161" s="263" customFormat="1" ht="26.1" customHeight="1"/>
    <row r="162" s="263" customFormat="1" ht="26.1" customHeight="1"/>
    <row r="163" s="263" customFormat="1" ht="26.1" customHeight="1"/>
    <row r="164" s="263" customFormat="1" ht="26.1" customHeight="1"/>
    <row r="165" s="263" customFormat="1" ht="26.1" customHeight="1"/>
    <row r="166" s="263" customFormat="1" ht="26.1" customHeight="1"/>
    <row r="167" s="263" customFormat="1" ht="26.1" customHeight="1"/>
    <row r="168" s="263" customFormat="1" ht="26.1" customHeight="1"/>
    <row r="169" s="263" customFormat="1" ht="26.1" customHeight="1"/>
    <row r="170" s="263" customFormat="1" ht="26.1" customHeight="1"/>
    <row r="171" s="263" customFormat="1" ht="26.1" customHeight="1"/>
    <row r="172" s="263" customFormat="1" ht="26.1" customHeight="1"/>
    <row r="173" s="263" customFormat="1" ht="26.1" customHeight="1"/>
    <row r="174" s="263" customFormat="1" ht="26.1" customHeight="1"/>
    <row r="175" s="263" customFormat="1" ht="26.1" customHeight="1"/>
    <row r="176" s="263" customFormat="1" ht="26.1" customHeight="1"/>
    <row r="177" spans="9:26" ht="26.1" customHeight="1">
      <c r="R177" s="263"/>
      <c r="Z177" s="263"/>
    </row>
    <row r="178" spans="9:26" ht="26.1" customHeight="1">
      <c r="R178" s="263"/>
      <c r="Z178" s="263"/>
    </row>
    <row r="179" spans="9:26" ht="26.1" customHeight="1">
      <c r="R179" s="263"/>
      <c r="Z179" s="263"/>
    </row>
    <row r="180" spans="9:26" ht="26.1" customHeight="1">
      <c r="R180" s="263"/>
      <c r="Z180" s="263"/>
    </row>
    <row r="181" spans="9:26" ht="26.1" customHeight="1">
      <c r="R181" s="263"/>
      <c r="Z181" s="263"/>
    </row>
    <row r="182" spans="9:26" ht="26.1" customHeight="1">
      <c r="R182" s="263"/>
      <c r="Z182" s="263"/>
    </row>
    <row r="183" spans="9:26" ht="26.1" customHeight="1">
      <c r="R183" s="263"/>
      <c r="Z183" s="263"/>
    </row>
    <row r="184" spans="9:26" ht="26.1" customHeight="1">
      <c r="J184" s="290"/>
      <c r="R184" s="263"/>
      <c r="Z184" s="263"/>
    </row>
    <row r="185" spans="9:26" ht="26.1" customHeight="1">
      <c r="J185" s="290"/>
      <c r="M185"/>
      <c r="R185" s="263"/>
      <c r="Z185" s="263"/>
    </row>
    <row r="186" spans="9:26" ht="26.1" customHeight="1">
      <c r="J186" s="290"/>
      <c r="R186" s="263"/>
      <c r="Z186" s="263"/>
    </row>
    <row r="187" spans="9:26" ht="26.1" customHeight="1">
      <c r="I187"/>
      <c r="J187" s="290"/>
      <c r="R187" s="263"/>
      <c r="Z187" s="263"/>
    </row>
    <row r="188" spans="9:26" ht="26.1" customHeight="1">
      <c r="J188"/>
      <c r="R188" s="263"/>
      <c r="Z188" s="263"/>
    </row>
    <row r="189" spans="9:26" ht="26.1" customHeight="1">
      <c r="R189" s="263"/>
      <c r="Z189" s="263"/>
    </row>
    <row r="190" spans="9:26" ht="26.1" customHeight="1">
      <c r="N190"/>
      <c r="R190" s="263"/>
      <c r="Z190" s="263"/>
    </row>
    <row r="191" spans="9:26" ht="26.1" customHeight="1">
      <c r="R191" s="263"/>
      <c r="Z191" s="263"/>
    </row>
    <row r="192" spans="9:26" ht="26.1" customHeight="1">
      <c r="R192" s="263"/>
      <c r="Z192" s="263"/>
    </row>
    <row r="193" s="263" customFormat="1" ht="26.1" customHeight="1"/>
    <row r="194" s="263" customFormat="1" ht="26.1" customHeight="1"/>
    <row r="195" s="263" customFormat="1" ht="26.1" customHeight="1"/>
    <row r="196" s="263" customFormat="1" ht="26.1" customHeight="1"/>
    <row r="197" s="263" customFormat="1" ht="26.1" customHeight="1"/>
    <row r="198" s="263" customFormat="1" ht="26.1" customHeight="1"/>
    <row r="199" s="263" customFormat="1" ht="26.1" customHeight="1"/>
    <row r="200" s="263" customFormat="1" ht="26.1" customHeight="1"/>
    <row r="201" s="263" customFormat="1" ht="26.1" customHeight="1"/>
    <row r="202" s="263" customFormat="1" ht="26.1" customHeight="1"/>
    <row r="203" s="263" customFormat="1" ht="26.1" customHeight="1"/>
    <row r="204" s="263" customFormat="1" ht="26.1" customHeight="1"/>
    <row r="205" s="263" customFormat="1" ht="26.1" customHeight="1"/>
    <row r="206" s="263" customFormat="1" ht="26.1" customHeight="1"/>
    <row r="207" s="263" customFormat="1" ht="26.1" customHeight="1"/>
    <row r="208" s="263" customFormat="1" ht="26.1" customHeight="1"/>
    <row r="209" s="263" customFormat="1" ht="26.1" customHeight="1"/>
    <row r="210" s="263" customFormat="1" ht="26.1" customHeight="1"/>
    <row r="211" s="263" customFormat="1" ht="26.1" customHeight="1"/>
    <row r="212" s="263" customFormat="1" ht="26.1" customHeight="1"/>
    <row r="213" s="263" customFormat="1" ht="26.1" customHeight="1"/>
    <row r="214" s="263" customFormat="1" ht="26.1" customHeight="1"/>
    <row r="215" s="263" customFormat="1" ht="26.1" customHeight="1"/>
    <row r="216" s="263" customFormat="1" ht="26.1" customHeight="1"/>
    <row r="217" s="263" customFormat="1" ht="26.1" customHeight="1"/>
    <row r="218" s="263" customFormat="1" ht="26.1" customHeight="1"/>
    <row r="219" s="263" customFormat="1" ht="26.1" customHeight="1"/>
    <row r="220" s="263" customFormat="1" ht="26.1" customHeight="1"/>
    <row r="221" s="263" customFormat="1" ht="26.1" customHeight="1"/>
    <row r="222" s="263" customFormat="1" ht="26.1" customHeight="1"/>
    <row r="223" s="263" customFormat="1" ht="26.1" customHeight="1"/>
    <row r="224" s="263" customFormat="1" ht="26.1" customHeight="1"/>
    <row r="225" spans="18:26" ht="26.1" customHeight="1">
      <c r="R225" s="263"/>
      <c r="Z225" s="263"/>
    </row>
    <row r="226" spans="18:26" ht="26.1" customHeight="1">
      <c r="R226" s="263"/>
      <c r="Z226" s="263"/>
    </row>
    <row r="227" spans="18:26" ht="26.1" customHeight="1">
      <c r="R227" s="263"/>
    </row>
    <row r="228" spans="18:26" ht="26.1" customHeight="1">
      <c r="R228" s="263"/>
    </row>
    <row r="229" spans="18:26" ht="26.1" customHeight="1">
      <c r="R229" s="263"/>
    </row>
    <row r="230" spans="18:26" ht="26.1" customHeight="1">
      <c r="R230" s="263"/>
    </row>
    <row r="231" spans="18:26" ht="26.1" customHeight="1">
      <c r="R231" s="263"/>
    </row>
    <row r="232" spans="18:26" ht="26.1" customHeight="1">
      <c r="R232" s="263"/>
    </row>
    <row r="233" spans="18:26" ht="26.1" customHeight="1">
      <c r="R233" s="263"/>
    </row>
    <row r="234" spans="18:26" ht="26.1" customHeight="1">
      <c r="R234" s="263"/>
    </row>
    <row r="235" spans="18:26" ht="26.1" customHeight="1">
      <c r="R235" s="263"/>
    </row>
    <row r="236" spans="18:26" ht="26.1" customHeight="1">
      <c r="R236" s="263"/>
    </row>
    <row r="237" spans="18:26" ht="26.1" customHeight="1">
      <c r="R237" s="263"/>
    </row>
    <row r="238" spans="18:26" ht="26.1" customHeight="1">
      <c r="R238" s="263"/>
    </row>
    <row r="239" spans="18:26" ht="26.1" customHeight="1">
      <c r="R239" s="263"/>
    </row>
    <row r="240" spans="18:26" ht="26.1" customHeight="1">
      <c r="R240" s="263"/>
    </row>
    <row r="241" spans="18:18" ht="26.1" customHeight="1">
      <c r="R241" s="263"/>
    </row>
    <row r="242" spans="18:18" ht="26.1" customHeight="1">
      <c r="R242" s="263"/>
    </row>
    <row r="243" spans="18:18" ht="26.1" customHeight="1">
      <c r="R243" s="263"/>
    </row>
    <row r="244" spans="18:18" ht="26.1" customHeight="1">
      <c r="R244" s="263"/>
    </row>
    <row r="245" spans="18:18" ht="26.1" customHeight="1">
      <c r="R245" s="263"/>
    </row>
    <row r="246" spans="18:18" ht="26.1" customHeight="1">
      <c r="R246" s="263"/>
    </row>
    <row r="247" spans="18:18" ht="26.1" customHeight="1">
      <c r="R247" s="263"/>
    </row>
    <row r="248" spans="18:18" ht="26.1" customHeight="1">
      <c r="R248" s="263"/>
    </row>
    <row r="249" spans="18:18" ht="26.1" customHeight="1">
      <c r="R249" s="263"/>
    </row>
    <row r="250" spans="18:18" ht="26.1" customHeight="1">
      <c r="R250" s="263"/>
    </row>
    <row r="251" spans="18:18" ht="26.1" customHeight="1">
      <c r="R251" s="263"/>
    </row>
    <row r="252" spans="18:18" ht="26.1" customHeight="1">
      <c r="R252" s="263"/>
    </row>
    <row r="253" spans="18:18" ht="26.1" customHeight="1">
      <c r="R253" s="263"/>
    </row>
    <row r="254" spans="18:18" ht="26.1" customHeight="1">
      <c r="R254" s="263"/>
    </row>
    <row r="255" spans="18:18" ht="26.1" customHeight="1">
      <c r="R255" s="263"/>
    </row>
    <row r="256" spans="18:18" ht="26.1" customHeight="1">
      <c r="R256" s="263"/>
    </row>
    <row r="257" spans="18:18" ht="26.1" customHeight="1">
      <c r="R257" s="263"/>
    </row>
    <row r="258" spans="18:18" ht="26.1" customHeight="1">
      <c r="R258" s="263"/>
    </row>
    <row r="259" spans="18:18" ht="26.1" customHeight="1">
      <c r="R259" s="263"/>
    </row>
    <row r="260" spans="18:18" ht="26.1" customHeight="1">
      <c r="R260" s="263"/>
    </row>
    <row r="261" spans="18:18" ht="26.1" customHeight="1">
      <c r="R261" s="263"/>
    </row>
    <row r="262" spans="18:18" ht="26.1" customHeight="1">
      <c r="R262" s="263"/>
    </row>
    <row r="263" spans="18:18" ht="26.1" customHeight="1">
      <c r="R263" s="263"/>
    </row>
    <row r="264" spans="18:18" ht="26.1" customHeight="1">
      <c r="R264" s="263"/>
    </row>
    <row r="265" spans="18:18" ht="26.1" customHeight="1">
      <c r="R265" s="263"/>
    </row>
    <row r="266" spans="18:18" ht="26.1" customHeight="1">
      <c r="R266" s="263"/>
    </row>
    <row r="267" spans="18:18" ht="26.1" customHeight="1">
      <c r="R267" s="263"/>
    </row>
    <row r="268" spans="18:18" ht="26.1" customHeight="1">
      <c r="R268" s="263"/>
    </row>
    <row r="269" spans="18:18" ht="26.1" customHeight="1">
      <c r="R269" s="263"/>
    </row>
    <row r="270" spans="18:18" ht="26.1" customHeight="1">
      <c r="R270" s="263"/>
    </row>
    <row r="271" spans="18:18" ht="26.1" customHeight="1">
      <c r="R271" s="263"/>
    </row>
    <row r="272" spans="18:18" ht="26.1" customHeight="1">
      <c r="R272" s="263"/>
    </row>
    <row r="273" spans="18:18" ht="26.1" customHeight="1">
      <c r="R273" s="263"/>
    </row>
    <row r="274" spans="18:18" ht="26.1" customHeight="1">
      <c r="R274" s="263"/>
    </row>
    <row r="275" spans="18:18" ht="26.1" customHeight="1">
      <c r="R275" s="263"/>
    </row>
    <row r="276" spans="18:18" ht="26.1" customHeight="1">
      <c r="R276" s="263"/>
    </row>
    <row r="277" spans="18:18" ht="26.1" customHeight="1">
      <c r="R277" s="263"/>
    </row>
    <row r="278" spans="18:18" ht="26.1" customHeight="1">
      <c r="R278" s="263"/>
    </row>
    <row r="279" spans="18:18" ht="26.1" customHeight="1">
      <c r="R279" s="263"/>
    </row>
    <row r="280" spans="18:18" ht="26.1" customHeight="1">
      <c r="R280" s="263"/>
    </row>
    <row r="281" spans="18:18" ht="26.1" customHeight="1">
      <c r="R281" s="263"/>
    </row>
    <row r="282" spans="18:18" ht="26.1" customHeight="1">
      <c r="R282" s="263"/>
    </row>
    <row r="283" spans="18:18" ht="26.1" customHeight="1">
      <c r="R283" s="263"/>
    </row>
    <row r="284" spans="18:18" ht="26.1" customHeight="1">
      <c r="R284" s="263"/>
    </row>
    <row r="285" spans="18:18" ht="26.1" customHeight="1">
      <c r="R285" s="263"/>
    </row>
    <row r="286" spans="18:18" ht="26.1" customHeight="1">
      <c r="R286" s="263"/>
    </row>
    <row r="287" spans="18:18" ht="26.1" customHeight="1">
      <c r="R287" s="263"/>
    </row>
    <row r="288" spans="18:18" ht="26.1" customHeight="1">
      <c r="R288" s="263"/>
    </row>
    <row r="289" spans="18:18" ht="26.1" customHeight="1">
      <c r="R289" s="263"/>
    </row>
    <row r="290" spans="18:18" ht="26.1" customHeight="1">
      <c r="R290" s="263"/>
    </row>
    <row r="291" spans="18:18" ht="26.1" customHeight="1">
      <c r="R291" s="263"/>
    </row>
    <row r="292" spans="18:18" ht="26.1" customHeight="1">
      <c r="R292" s="263"/>
    </row>
    <row r="293" spans="18:18" ht="26.1" customHeight="1">
      <c r="R293" s="263"/>
    </row>
    <row r="294" spans="18:18" ht="26.1" customHeight="1">
      <c r="R294" s="263"/>
    </row>
    <row r="295" spans="18:18" ht="26.1" customHeight="1">
      <c r="R295" s="263"/>
    </row>
    <row r="296" spans="18:18" ht="26.1" customHeight="1">
      <c r="R296" s="263"/>
    </row>
    <row r="297" spans="18:18" ht="26.1" customHeight="1">
      <c r="R297" s="263"/>
    </row>
    <row r="298" spans="18:18" ht="26.1" customHeight="1">
      <c r="R298" s="263"/>
    </row>
    <row r="299" spans="18:18" ht="26.1" customHeight="1">
      <c r="R299" s="263"/>
    </row>
    <row r="300" spans="18:18" ht="26.1" customHeight="1">
      <c r="R300" s="263"/>
    </row>
    <row r="301" spans="18:18" ht="26.1" customHeight="1">
      <c r="R301" s="263"/>
    </row>
    <row r="302" spans="18:18" ht="26.1" customHeight="1">
      <c r="R302" s="263"/>
    </row>
    <row r="303" spans="18:18" ht="26.1" customHeight="1">
      <c r="R303" s="263"/>
    </row>
    <row r="304" spans="18:18" ht="26.1" customHeight="1">
      <c r="R304" s="263"/>
    </row>
    <row r="305" spans="18:18" ht="26.1" customHeight="1">
      <c r="R305" s="263"/>
    </row>
    <row r="306" spans="18:18" ht="26.1" customHeight="1">
      <c r="R306" s="263"/>
    </row>
    <row r="307" spans="18:18" ht="26.1" customHeight="1">
      <c r="R307" s="263"/>
    </row>
    <row r="308" spans="18:18" ht="26.1" customHeight="1">
      <c r="R308" s="263"/>
    </row>
    <row r="309" spans="18:18" ht="26.1" customHeight="1">
      <c r="R309" s="263"/>
    </row>
    <row r="310" spans="18:18" ht="26.1" customHeight="1">
      <c r="R310" s="263"/>
    </row>
    <row r="311" spans="18:18" ht="26.1" customHeight="1">
      <c r="R311" s="263"/>
    </row>
    <row r="312" spans="18:18" ht="26.1" customHeight="1">
      <c r="R312" s="263"/>
    </row>
    <row r="313" spans="18:18" ht="26.1" customHeight="1">
      <c r="R313" s="263"/>
    </row>
    <row r="314" spans="18:18" ht="26.1" customHeight="1">
      <c r="R314" s="263"/>
    </row>
    <row r="315" spans="18:18" ht="26.1" customHeight="1">
      <c r="R315" s="263"/>
    </row>
    <row r="316" spans="18:18" ht="26.1" customHeight="1">
      <c r="R316" s="263"/>
    </row>
    <row r="317" spans="18:18" ht="26.1" customHeight="1">
      <c r="R317" s="263"/>
    </row>
    <row r="318" spans="18:18" ht="26.1" customHeight="1">
      <c r="R318" s="263"/>
    </row>
    <row r="319" spans="18:18" ht="26.1" customHeight="1">
      <c r="R319" s="263"/>
    </row>
    <row r="320" spans="18:18" ht="26.1" customHeight="1">
      <c r="R320" s="263"/>
    </row>
    <row r="321" spans="18:18" ht="26.1" customHeight="1">
      <c r="R321" s="263"/>
    </row>
    <row r="322" spans="18:18" ht="26.1" customHeight="1">
      <c r="R322" s="263"/>
    </row>
    <row r="323" spans="18:18" ht="26.1" customHeight="1">
      <c r="R323" s="263"/>
    </row>
    <row r="324" spans="18:18" ht="26.1" customHeight="1">
      <c r="R324" s="263"/>
    </row>
    <row r="325" spans="18:18" ht="26.1" customHeight="1">
      <c r="R325" s="263"/>
    </row>
    <row r="326" spans="18:18" ht="26.1" customHeight="1">
      <c r="R326" s="263"/>
    </row>
    <row r="327" spans="18:18" ht="26.1" customHeight="1">
      <c r="R327" s="263"/>
    </row>
    <row r="328" spans="18:18" ht="26.1" customHeight="1">
      <c r="R328" s="263"/>
    </row>
    <row r="329" spans="18:18" ht="26.1" customHeight="1">
      <c r="R329" s="263"/>
    </row>
    <row r="330" spans="18:18" ht="26.1" customHeight="1">
      <c r="R330" s="263"/>
    </row>
    <row r="331" spans="18:18" ht="26.1" customHeight="1">
      <c r="R331" s="263"/>
    </row>
    <row r="332" spans="18:18" ht="26.1" customHeight="1">
      <c r="R332" s="263"/>
    </row>
    <row r="333" spans="18:18" ht="26.1" customHeight="1">
      <c r="R333" s="263"/>
    </row>
    <row r="334" spans="18:18" ht="26.1" customHeight="1">
      <c r="R334" s="263"/>
    </row>
    <row r="335" spans="18:18" ht="26.1" customHeight="1">
      <c r="R335" s="263"/>
    </row>
    <row r="336" spans="18:18" ht="26.1" customHeight="1">
      <c r="R336" s="263"/>
    </row>
    <row r="337" spans="18:18" ht="26.1" customHeight="1">
      <c r="R337" s="263"/>
    </row>
    <row r="338" spans="18:18" ht="26.1" customHeight="1">
      <c r="R338" s="263"/>
    </row>
    <row r="339" spans="18:18" ht="26.1" customHeight="1">
      <c r="R339" s="263"/>
    </row>
    <row r="340" spans="18:18" ht="26.1" customHeight="1">
      <c r="R340" s="263"/>
    </row>
    <row r="341" spans="18:18" ht="26.1" customHeight="1">
      <c r="R341" s="263"/>
    </row>
    <row r="342" spans="18:18" ht="26.1" customHeight="1">
      <c r="R342" s="263"/>
    </row>
    <row r="343" spans="18:18" ht="26.1" customHeight="1">
      <c r="R343" s="263"/>
    </row>
    <row r="344" spans="18:18" ht="26.1" customHeight="1">
      <c r="R344" s="263"/>
    </row>
    <row r="345" spans="18:18" ht="26.1" customHeight="1">
      <c r="R345" s="263"/>
    </row>
    <row r="346" spans="18:18" ht="26.1" customHeight="1">
      <c r="R346" s="263"/>
    </row>
    <row r="347" spans="18:18" ht="26.1" customHeight="1">
      <c r="R347" s="263"/>
    </row>
    <row r="348" spans="18:18" ht="26.1" customHeight="1">
      <c r="R348" s="263"/>
    </row>
    <row r="349" spans="18:18" ht="26.1" customHeight="1">
      <c r="R349" s="263"/>
    </row>
    <row r="350" spans="18:18" ht="26.1" customHeight="1">
      <c r="R350" s="263"/>
    </row>
    <row r="351" spans="18:18" ht="26.1" customHeight="1">
      <c r="R351" s="263"/>
    </row>
    <row r="352" spans="18:18" ht="26.1" customHeight="1">
      <c r="R352" s="263"/>
    </row>
    <row r="353" spans="18:18" ht="26.1" customHeight="1">
      <c r="R353" s="263"/>
    </row>
    <row r="354" spans="18:18" ht="26.1" customHeight="1">
      <c r="R354" s="263"/>
    </row>
    <row r="355" spans="18:18" ht="26.1" customHeight="1">
      <c r="R355" s="263"/>
    </row>
    <row r="356" spans="18:18" ht="26.1" customHeight="1">
      <c r="R356" s="263"/>
    </row>
    <row r="357" spans="18:18" ht="26.1" customHeight="1">
      <c r="R357" s="263"/>
    </row>
    <row r="358" spans="18:18" ht="26.1" customHeight="1">
      <c r="R358" s="263"/>
    </row>
    <row r="359" spans="18:18" ht="26.1" customHeight="1">
      <c r="R359" s="263"/>
    </row>
    <row r="360" spans="18:18" ht="26.1" customHeight="1">
      <c r="R360" s="263"/>
    </row>
    <row r="361" spans="18:18" ht="26.1" customHeight="1">
      <c r="R361" s="263"/>
    </row>
    <row r="362" spans="18:18" ht="26.1" customHeight="1">
      <c r="R362" s="263"/>
    </row>
    <row r="363" spans="18:18" ht="26.1" customHeight="1">
      <c r="R363" s="263"/>
    </row>
    <row r="364" spans="18:18" ht="26.1" customHeight="1">
      <c r="R364" s="263"/>
    </row>
    <row r="365" spans="18:18" ht="26.1" customHeight="1">
      <c r="R365" s="263"/>
    </row>
    <row r="366" spans="18:18" ht="26.1" customHeight="1">
      <c r="R366" s="263"/>
    </row>
    <row r="367" spans="18:18" ht="26.1" customHeight="1">
      <c r="R367" s="263"/>
    </row>
    <row r="368" spans="18:18" ht="26.1" customHeight="1">
      <c r="R368" s="263"/>
    </row>
    <row r="369" spans="18:18" ht="26.1" customHeight="1">
      <c r="R369" s="263"/>
    </row>
    <row r="370" spans="18:18" ht="26.1" customHeight="1">
      <c r="R370" s="263"/>
    </row>
    <row r="371" spans="18:18" ht="26.1" customHeight="1">
      <c r="R371" s="263"/>
    </row>
    <row r="372" spans="18:18" ht="26.1" customHeight="1">
      <c r="R372" s="263"/>
    </row>
    <row r="373" spans="18:18" ht="26.1" customHeight="1">
      <c r="R373" s="263"/>
    </row>
    <row r="374" spans="18:18" ht="26.1" customHeight="1">
      <c r="R374" s="263"/>
    </row>
    <row r="375" spans="18:18" ht="26.1" customHeight="1">
      <c r="R375" s="263"/>
    </row>
    <row r="376" spans="18:18" ht="26.1" customHeight="1">
      <c r="R376" s="263"/>
    </row>
  </sheetData>
  <mergeCells count="11">
    <mergeCell ref="U56:W56"/>
    <mergeCell ref="X56:Z56"/>
    <mergeCell ref="K72:M72"/>
    <mergeCell ref="N72:P72"/>
    <mergeCell ref="U72:W72"/>
    <mergeCell ref="X72:Z72"/>
    <mergeCell ref="A1:H1"/>
    <mergeCell ref="D7:E7"/>
    <mergeCell ref="D9:E9"/>
    <mergeCell ref="K56:M56"/>
    <mergeCell ref="N56:P56"/>
  </mergeCells>
  <phoneticPr fontId="80" type="noConversion"/>
  <conditionalFormatting sqref="I178">
    <cfRule type="containsText" dxfId="55" priority="1" operator="containsText" text="不满足">
      <formula>NOT(ISERROR(SEARCH("不满足",I178)))</formula>
    </cfRule>
  </conditionalFormatting>
  <dataValidations count="4">
    <dataValidation type="list" allowBlank="1" showInputMessage="1" showErrorMessage="1" sqref="E14 E34" xr:uid="{00000000-0002-0000-0400-000000000000}">
      <formula1>"自动,自定义"</formula1>
    </dataValidation>
    <dataValidation type="list" allowBlank="1" showInputMessage="1" showErrorMessage="1" sqref="E15 E35" xr:uid="{00000000-0002-0000-0400-000001000000}">
      <formula1>"1P,2P"</formula1>
    </dataValidation>
    <dataValidation type="list" allowBlank="1" showInputMessage="1" showErrorMessage="1" sqref="B16:H16 B36:H36" xr:uid="{00000000-0002-0000-0400-000002000000}">
      <formula1>$J$58:$J$70</formula1>
    </dataValidation>
    <dataValidation type="list" allowBlank="1" showInputMessage="1" showErrorMessage="1" sqref="B17:H17 B37:H37" xr:uid="{00000000-0002-0000-0400-000003000000}">
      <formula1>"抗风模式,运行模式"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>
      <selection activeCell="Y23" sqref="P23:Y23"/>
    </sheetView>
  </sheetViews>
  <sheetFormatPr defaultColWidth="9" defaultRowHeight="14.25"/>
  <sheetData/>
  <phoneticPr fontId="8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F58"/>
  <sheetViews>
    <sheetView topLeftCell="A37" workbookViewId="0">
      <selection activeCell="G32" sqref="G32"/>
    </sheetView>
  </sheetViews>
  <sheetFormatPr defaultColWidth="9" defaultRowHeight="21.75" customHeight="1"/>
  <cols>
    <col min="1" max="1" width="6.125" style="100" customWidth="1"/>
    <col min="2" max="2" width="25.75" style="115" customWidth="1"/>
    <col min="3" max="3" width="22.875" style="100" customWidth="1"/>
    <col min="4" max="4" width="9.625" style="100" customWidth="1"/>
    <col min="5" max="8" width="9" style="100"/>
    <col min="9" max="12" width="11.5" style="100" customWidth="1"/>
    <col min="13" max="18" width="9" style="100"/>
    <col min="19" max="32" width="9" style="100" hidden="1" customWidth="1"/>
    <col min="33" max="16384" width="9" style="100"/>
  </cols>
  <sheetData>
    <row r="1" spans="1:30" ht="21.75" customHeight="1">
      <c r="A1" s="404" t="s">
        <v>393</v>
      </c>
      <c r="B1" s="404"/>
      <c r="C1" s="404"/>
      <c r="D1" s="404"/>
      <c r="E1" s="404"/>
      <c r="F1" s="404"/>
      <c r="I1" s="405" t="s">
        <v>253</v>
      </c>
      <c r="J1" s="405"/>
      <c r="K1" s="405"/>
      <c r="L1" s="405"/>
    </row>
    <row r="2" spans="1:30" ht="21.75" customHeight="1">
      <c r="A2" s="259">
        <v>1</v>
      </c>
      <c r="B2" s="260" t="s">
        <v>394</v>
      </c>
      <c r="I2" s="261" t="s">
        <v>395</v>
      </c>
      <c r="J2" s="262" t="s">
        <v>396</v>
      </c>
      <c r="K2" s="261" t="s">
        <v>397</v>
      </c>
      <c r="L2" s="262" t="s">
        <v>398</v>
      </c>
    </row>
    <row r="3" spans="1:30" ht="21.75" customHeight="1">
      <c r="B3" s="115" t="s">
        <v>399</v>
      </c>
      <c r="C3" s="151">
        <v>25.2</v>
      </c>
      <c r="D3" s="100" t="s">
        <v>400</v>
      </c>
      <c r="I3" s="261" t="s">
        <v>401</v>
      </c>
      <c r="J3" s="262">
        <v>310</v>
      </c>
      <c r="K3" s="261" t="s">
        <v>402</v>
      </c>
      <c r="L3" s="262">
        <v>468</v>
      </c>
    </row>
    <row r="4" spans="1:30" ht="21.75" customHeight="1">
      <c r="B4" s="115" t="s">
        <v>403</v>
      </c>
      <c r="C4" s="151">
        <v>8</v>
      </c>
      <c r="D4" s="100" t="s">
        <v>315</v>
      </c>
      <c r="I4" s="261" t="s">
        <v>404</v>
      </c>
      <c r="J4" s="262">
        <v>180</v>
      </c>
      <c r="K4" s="261" t="s">
        <v>405</v>
      </c>
      <c r="L4" s="262">
        <v>240</v>
      </c>
    </row>
    <row r="5" spans="1:30" ht="21.75" customHeight="1">
      <c r="B5" s="115" t="s">
        <v>406</v>
      </c>
      <c r="C5" s="151">
        <v>12</v>
      </c>
      <c r="D5" s="100" t="s">
        <v>315</v>
      </c>
      <c r="S5" s="100" t="s">
        <v>407</v>
      </c>
      <c r="T5" s="100" t="s">
        <v>408</v>
      </c>
      <c r="U5" s="100" t="s">
        <v>409</v>
      </c>
      <c r="W5" s="100" t="s">
        <v>410</v>
      </c>
      <c r="Y5" s="100" t="s">
        <v>411</v>
      </c>
      <c r="Z5" s="100" t="s">
        <v>412</v>
      </c>
      <c r="AA5" s="100" t="s">
        <v>413</v>
      </c>
      <c r="AB5" s="100" t="s">
        <v>73</v>
      </c>
      <c r="AC5" s="100" t="s">
        <v>414</v>
      </c>
      <c r="AD5" s="100" t="s">
        <v>415</v>
      </c>
    </row>
    <row r="6" spans="1:30" ht="21.75" customHeight="1">
      <c r="B6" s="115" t="s">
        <v>416</v>
      </c>
      <c r="C6" s="151" t="s">
        <v>93</v>
      </c>
      <c r="S6" s="100" t="s">
        <v>417</v>
      </c>
      <c r="T6" s="100">
        <v>14.14</v>
      </c>
      <c r="U6" s="100">
        <f>ROUND((T6/2)^2*PI(),2)</f>
        <v>157.03</v>
      </c>
      <c r="V6" s="100" t="str">
        <f>MID(S6,2,5)</f>
        <v>16</v>
      </c>
      <c r="W6" s="100">
        <f>ROUND((V6/2)^2*PI(),2)</f>
        <v>201.06</v>
      </c>
      <c r="Y6" s="100" t="s">
        <v>418</v>
      </c>
      <c r="Z6" s="100">
        <v>200</v>
      </c>
      <c r="AA6" s="100">
        <v>170</v>
      </c>
      <c r="AB6" s="100" t="s">
        <v>419</v>
      </c>
      <c r="AC6" s="100">
        <v>200</v>
      </c>
      <c r="AD6" s="100">
        <v>110</v>
      </c>
    </row>
    <row r="7" spans="1:30" ht="21.75" customHeight="1">
      <c r="B7" s="115" t="s">
        <v>420</v>
      </c>
      <c r="C7" s="151" t="s">
        <v>421</v>
      </c>
      <c r="S7" s="100" t="s">
        <v>422</v>
      </c>
      <c r="T7" s="100">
        <v>17.66</v>
      </c>
      <c r="U7" s="100">
        <f t="shared" ref="U7:U12" si="0">ROUND((T7/2)^2*PI(),2)</f>
        <v>244.95</v>
      </c>
      <c r="V7" s="100" t="str">
        <f t="shared" ref="V7:V12" si="1">MID(S7,2,5)</f>
        <v>20</v>
      </c>
      <c r="W7" s="100">
        <f t="shared" ref="W7:W12" si="2">ROUND((V7/2)^2*PI(),2)</f>
        <v>314.16000000000003</v>
      </c>
      <c r="Y7" s="100" t="s">
        <v>423</v>
      </c>
      <c r="Z7" s="100">
        <v>300</v>
      </c>
      <c r="AA7" s="100">
        <v>240</v>
      </c>
      <c r="AB7" s="100" t="s">
        <v>93</v>
      </c>
      <c r="AC7" s="100">
        <v>290</v>
      </c>
      <c r="AD7" s="100">
        <v>170</v>
      </c>
    </row>
    <row r="8" spans="1:30" ht="21.75" customHeight="1">
      <c r="B8" s="115" t="s">
        <v>424</v>
      </c>
      <c r="C8" s="151">
        <v>160</v>
      </c>
      <c r="S8" s="100" t="s">
        <v>425</v>
      </c>
      <c r="T8" s="100">
        <v>19.64</v>
      </c>
      <c r="U8" s="100">
        <f t="shared" si="0"/>
        <v>302.95</v>
      </c>
      <c r="V8" s="100" t="str">
        <f t="shared" si="1"/>
        <v>22</v>
      </c>
      <c r="W8" s="100">
        <f t="shared" si="2"/>
        <v>380.13</v>
      </c>
      <c r="Y8" s="100" t="s">
        <v>426</v>
      </c>
      <c r="Z8" s="100">
        <v>400</v>
      </c>
      <c r="AA8" s="100">
        <v>300</v>
      </c>
      <c r="AB8" s="100" t="s">
        <v>396</v>
      </c>
      <c r="AC8" s="100">
        <v>310</v>
      </c>
      <c r="AD8" s="100">
        <v>180</v>
      </c>
    </row>
    <row r="9" spans="1:30" ht="21.75" customHeight="1">
      <c r="B9" s="115" t="s">
        <v>427</v>
      </c>
      <c r="C9" s="151">
        <v>260</v>
      </c>
      <c r="S9" s="100" t="s">
        <v>421</v>
      </c>
      <c r="T9" s="100">
        <v>21.2</v>
      </c>
      <c r="U9" s="100">
        <f t="shared" si="0"/>
        <v>352.99</v>
      </c>
      <c r="V9" s="100" t="str">
        <f t="shared" si="1"/>
        <v>24</v>
      </c>
      <c r="W9" s="100">
        <f t="shared" si="2"/>
        <v>452.39</v>
      </c>
      <c r="Y9" s="100" t="s">
        <v>419</v>
      </c>
      <c r="Z9" s="100">
        <v>160</v>
      </c>
      <c r="AB9" s="100" t="str">
        <f>J2</f>
        <v>GR50</v>
      </c>
      <c r="AC9" s="100">
        <f>J3</f>
        <v>310</v>
      </c>
      <c r="AD9" s="100">
        <f>J4</f>
        <v>180</v>
      </c>
    </row>
    <row r="10" spans="1:30" ht="21.75" customHeight="1">
      <c r="B10" s="115" t="s">
        <v>428</v>
      </c>
      <c r="C10" s="151">
        <v>30</v>
      </c>
      <c r="S10" s="100" t="s">
        <v>429</v>
      </c>
      <c r="T10" s="100">
        <v>24.17</v>
      </c>
      <c r="U10" s="100">
        <f t="shared" si="0"/>
        <v>458.82</v>
      </c>
      <c r="V10" s="100" t="str">
        <f t="shared" si="1"/>
        <v>27</v>
      </c>
      <c r="W10" s="100">
        <f t="shared" si="2"/>
        <v>572.55999999999995</v>
      </c>
      <c r="Y10" s="100" t="s">
        <v>93</v>
      </c>
      <c r="Z10" s="100">
        <v>205</v>
      </c>
    </row>
    <row r="11" spans="1:30" ht="21.75" customHeight="1">
      <c r="B11" s="115" t="s">
        <v>35</v>
      </c>
      <c r="C11" s="151">
        <v>200</v>
      </c>
      <c r="S11" s="100" t="s">
        <v>430</v>
      </c>
      <c r="T11" s="100">
        <v>26.72</v>
      </c>
      <c r="U11" s="100">
        <f t="shared" si="0"/>
        <v>560.74</v>
      </c>
      <c r="V11" s="100" t="str">
        <f t="shared" si="1"/>
        <v>30</v>
      </c>
      <c r="W11" s="100">
        <f t="shared" si="2"/>
        <v>706.86</v>
      </c>
      <c r="Y11" s="100" t="s">
        <v>431</v>
      </c>
      <c r="Z11" s="100">
        <v>190</v>
      </c>
    </row>
    <row r="12" spans="1:30" ht="21.75" customHeight="1">
      <c r="B12" s="115" t="s">
        <v>432</v>
      </c>
      <c r="C12" s="151">
        <v>100</v>
      </c>
      <c r="S12" s="100" t="s">
        <v>433</v>
      </c>
      <c r="T12" s="100">
        <v>29.72</v>
      </c>
      <c r="U12" s="100">
        <f t="shared" si="0"/>
        <v>693.73</v>
      </c>
      <c r="V12" s="100" t="str">
        <f t="shared" si="1"/>
        <v>33</v>
      </c>
      <c r="W12" s="100">
        <f t="shared" si="2"/>
        <v>855.3</v>
      </c>
      <c r="Y12" s="100" t="s">
        <v>434</v>
      </c>
      <c r="Z12" s="100">
        <v>215</v>
      </c>
    </row>
    <row r="13" spans="1:30" ht="21.75" customHeight="1">
      <c r="B13" s="115" t="s">
        <v>435</v>
      </c>
      <c r="C13" s="100" t="s">
        <v>436</v>
      </c>
      <c r="D13" s="100">
        <f>C8+2*C10</f>
        <v>220</v>
      </c>
      <c r="E13" s="103" t="s">
        <v>437</v>
      </c>
      <c r="S13" s="100" t="s">
        <v>438</v>
      </c>
      <c r="T13" s="100">
        <v>32.25</v>
      </c>
      <c r="U13" s="100">
        <f t="shared" ref="U13:U18" si="3">ROUND((T13/2)^2*PI(),2)</f>
        <v>816.86</v>
      </c>
      <c r="V13" s="100" t="str">
        <f t="shared" ref="V13:V18" si="4">MID(S13,2,5)</f>
        <v>36</v>
      </c>
      <c r="W13" s="100">
        <f t="shared" ref="W13:W18" si="5">ROUND((V13/2)^2*PI(),2)</f>
        <v>1017.88</v>
      </c>
      <c r="Y13" s="100" t="s">
        <v>398</v>
      </c>
      <c r="Z13" s="100">
        <v>468</v>
      </c>
      <c r="AA13" s="100">
        <v>240</v>
      </c>
    </row>
    <row r="14" spans="1:30" ht="21.75" customHeight="1">
      <c r="B14" s="115" t="s">
        <v>439</v>
      </c>
      <c r="C14" s="100" t="s">
        <v>440</v>
      </c>
      <c r="D14" s="100">
        <f>C9+2*C10</f>
        <v>320</v>
      </c>
      <c r="E14" s="103" t="s">
        <v>437</v>
      </c>
      <c r="S14" s="100" t="s">
        <v>441</v>
      </c>
      <c r="T14" s="100">
        <v>35.25</v>
      </c>
      <c r="U14" s="100">
        <f t="shared" si="3"/>
        <v>975.91</v>
      </c>
      <c r="V14" s="100" t="str">
        <f t="shared" si="4"/>
        <v>39</v>
      </c>
      <c r="W14" s="100">
        <f t="shared" si="5"/>
        <v>1194.5899999999999</v>
      </c>
    </row>
    <row r="15" spans="1:30" ht="21.75" customHeight="1">
      <c r="A15" s="259">
        <v>2</v>
      </c>
      <c r="B15" s="260" t="s">
        <v>442</v>
      </c>
      <c r="S15" s="100" t="s">
        <v>443</v>
      </c>
      <c r="T15" s="100">
        <v>37.78</v>
      </c>
      <c r="U15" s="100">
        <f t="shared" si="3"/>
        <v>1121.02</v>
      </c>
      <c r="V15" s="100" t="str">
        <f t="shared" si="4"/>
        <v>42</v>
      </c>
      <c r="W15" s="100">
        <f t="shared" si="5"/>
        <v>1385.44</v>
      </c>
      <c r="Y15" s="100" t="str">
        <f>L2</f>
        <v>Grade 75</v>
      </c>
      <c r="Z15" s="100">
        <f>L3</f>
        <v>468</v>
      </c>
      <c r="AA15" s="100">
        <f>L4</f>
        <v>240</v>
      </c>
    </row>
    <row r="16" spans="1:30" ht="21.75" customHeight="1">
      <c r="B16" s="115" t="s">
        <v>444</v>
      </c>
      <c r="C16" s="100" t="s">
        <v>445</v>
      </c>
      <c r="D16" s="100">
        <f>ROUND(C3*1000/C5,2)</f>
        <v>2100</v>
      </c>
      <c r="E16" s="103" t="s">
        <v>437</v>
      </c>
      <c r="S16" s="100" t="s">
        <v>446</v>
      </c>
      <c r="T16" s="100">
        <v>40.130000000000003</v>
      </c>
      <c r="U16" s="100">
        <f t="shared" si="3"/>
        <v>1264.82</v>
      </c>
      <c r="V16" s="100" t="str">
        <f t="shared" si="4"/>
        <v>45</v>
      </c>
      <c r="W16" s="100">
        <f t="shared" si="5"/>
        <v>1590.43</v>
      </c>
    </row>
    <row r="17" spans="1:23" ht="21.75" customHeight="1">
      <c r="B17" s="115" t="s">
        <v>447</v>
      </c>
      <c r="C17" s="100" t="str">
        <f>IF(D16&gt;E17,"&gt;","&lt;")</f>
        <v>&gt;</v>
      </c>
      <c r="D17" s="100" t="s">
        <v>448</v>
      </c>
      <c r="E17" s="100">
        <f>ROUND(D14/6+C10/3,2)</f>
        <v>63.33</v>
      </c>
      <c r="F17" s="100" t="s">
        <v>437</v>
      </c>
      <c r="S17" s="100" t="s">
        <v>449</v>
      </c>
      <c r="T17" s="100">
        <v>43.31</v>
      </c>
      <c r="U17" s="100">
        <f t="shared" si="3"/>
        <v>1473.22</v>
      </c>
      <c r="V17" s="100" t="str">
        <f t="shared" si="4"/>
        <v>48</v>
      </c>
      <c r="W17" s="100">
        <f t="shared" si="5"/>
        <v>1809.56</v>
      </c>
    </row>
    <row r="18" spans="1:23" ht="21.75" customHeight="1">
      <c r="B18" s="115" t="s">
        <v>450</v>
      </c>
      <c r="S18" s="100" t="s">
        <v>451</v>
      </c>
      <c r="T18" s="100">
        <v>46.6</v>
      </c>
      <c r="U18" s="100">
        <f t="shared" si="3"/>
        <v>1705.54</v>
      </c>
      <c r="V18" s="100" t="str">
        <f t="shared" si="4"/>
        <v>52</v>
      </c>
      <c r="W18" s="100">
        <f t="shared" si="5"/>
        <v>2123.7199999999998</v>
      </c>
    </row>
    <row r="19" spans="1:23" ht="21.75" customHeight="1">
      <c r="B19" s="115" t="s">
        <v>452</v>
      </c>
      <c r="C19" s="100" t="s">
        <v>453</v>
      </c>
      <c r="D19" s="103">
        <v>8.0779999999999994</v>
      </c>
      <c r="S19" s="100" t="s">
        <v>454</v>
      </c>
      <c r="T19" s="100">
        <v>50.84</v>
      </c>
      <c r="U19" s="100">
        <f t="shared" ref="U19:U24" si="6">ROUND((T19/2)^2*PI(),2)</f>
        <v>2030.02</v>
      </c>
      <c r="V19" s="100" t="str">
        <f t="shared" ref="V19:V24" si="7">MID(S19,2,5)</f>
        <v>56</v>
      </c>
      <c r="W19" s="100">
        <f t="shared" ref="W19:W24" si="8">ROUND((V19/2)^2*PI(),2)</f>
        <v>2463.0100000000002</v>
      </c>
    </row>
    <row r="20" spans="1:23" ht="21.75" customHeight="1">
      <c r="B20" s="115" t="s">
        <v>455</v>
      </c>
      <c r="C20" s="100">
        <f>VLOOKUP(C7,S6:W23,3,FALSE)</f>
        <v>352.99</v>
      </c>
      <c r="D20" s="103" t="s">
        <v>313</v>
      </c>
      <c r="S20" s="100" t="s">
        <v>456</v>
      </c>
      <c r="T20" s="100">
        <v>54.84</v>
      </c>
      <c r="U20" s="100">
        <f t="shared" si="6"/>
        <v>2362.0300000000002</v>
      </c>
      <c r="V20" s="100" t="str">
        <f t="shared" si="7"/>
        <v>60</v>
      </c>
      <c r="W20" s="100">
        <f t="shared" si="8"/>
        <v>2827.43</v>
      </c>
    </row>
    <row r="21" spans="1:23" ht="21.75" customHeight="1">
      <c r="B21" s="115" t="s">
        <v>457</v>
      </c>
      <c r="C21" s="100">
        <v>2</v>
      </c>
      <c r="S21" s="100" t="s">
        <v>458</v>
      </c>
      <c r="T21" s="100">
        <v>58.37</v>
      </c>
      <c r="U21" s="100">
        <f t="shared" si="6"/>
        <v>2675.9</v>
      </c>
      <c r="V21" s="100" t="str">
        <f t="shared" si="7"/>
        <v>64</v>
      </c>
      <c r="W21" s="100">
        <f t="shared" si="8"/>
        <v>3216.99</v>
      </c>
    </row>
    <row r="22" spans="1:23" ht="21.75" customHeight="1">
      <c r="A22" s="115"/>
      <c r="B22" s="115" t="s">
        <v>459</v>
      </c>
      <c r="C22" s="115" t="s">
        <v>460</v>
      </c>
      <c r="D22" s="115">
        <f>C21*C20</f>
        <v>705.98</v>
      </c>
      <c r="E22" s="103" t="s">
        <v>313</v>
      </c>
      <c r="S22" s="100" t="s">
        <v>461</v>
      </c>
      <c r="T22" s="100">
        <v>61.5</v>
      </c>
      <c r="U22" s="100">
        <f t="shared" si="6"/>
        <v>2970.57</v>
      </c>
      <c r="V22" s="100" t="str">
        <f t="shared" si="7"/>
        <v>68</v>
      </c>
      <c r="W22" s="100">
        <f t="shared" si="8"/>
        <v>3631.68</v>
      </c>
    </row>
    <row r="23" spans="1:23" ht="21.75" customHeight="1">
      <c r="A23" s="115"/>
      <c r="B23" s="115" t="s">
        <v>462</v>
      </c>
      <c r="C23" s="115"/>
      <c r="D23" s="115"/>
      <c r="S23" s="100" t="s">
        <v>463</v>
      </c>
      <c r="T23" s="100">
        <v>65.5</v>
      </c>
      <c r="U23" s="100">
        <f t="shared" si="6"/>
        <v>3369.55</v>
      </c>
      <c r="V23" s="100" t="str">
        <f t="shared" si="7"/>
        <v>72</v>
      </c>
      <c r="W23" s="100">
        <f t="shared" si="8"/>
        <v>4071.5</v>
      </c>
    </row>
    <row r="24" spans="1:23" ht="21.75" customHeight="1">
      <c r="A24" s="115"/>
      <c r="B24" s="115" t="s">
        <v>464</v>
      </c>
      <c r="C24" s="115" t="s">
        <v>465</v>
      </c>
      <c r="D24" s="115">
        <f>C28^3+C25*C28^2+C26*C28+C27</f>
        <v>-45120871.903878503</v>
      </c>
      <c r="S24" s="100" t="s">
        <v>466</v>
      </c>
      <c r="T24" s="100">
        <v>69.5</v>
      </c>
      <c r="U24" s="100">
        <f t="shared" si="6"/>
        <v>3793.67</v>
      </c>
      <c r="V24" s="100" t="str">
        <f t="shared" si="7"/>
        <v>76</v>
      </c>
      <c r="W24" s="100">
        <f t="shared" si="8"/>
        <v>4536.46</v>
      </c>
    </row>
    <row r="25" spans="1:23" ht="21.75" customHeight="1">
      <c r="A25" s="115"/>
      <c r="B25" s="115" t="s">
        <v>467</v>
      </c>
      <c r="C25" s="115">
        <f>(D16-D14/2)*3</f>
        <v>5820</v>
      </c>
      <c r="D25" s="103"/>
    </row>
    <row r="26" spans="1:23" ht="21.75" customHeight="1">
      <c r="A26" s="115"/>
      <c r="B26" s="115" t="s">
        <v>468</v>
      </c>
      <c r="C26" s="115">
        <f>ROUND(6*D19*D22*(D16+D14/2-C10)/D13,2)</f>
        <v>346840.4</v>
      </c>
      <c r="D26" s="115"/>
    </row>
    <row r="27" spans="1:23" ht="21.75" customHeight="1">
      <c r="B27" s="115" t="s">
        <v>469</v>
      </c>
      <c r="C27" s="100">
        <f>ROUND(6*D19*D22*(D16+D14/2-C10)*(C10-D14)/D13,2)</f>
        <v>-100583716.22</v>
      </c>
    </row>
    <row r="28" spans="1:23" ht="21.75" customHeight="1">
      <c r="B28" s="115" t="s">
        <v>470</v>
      </c>
      <c r="C28" s="151">
        <v>71.955180469916201</v>
      </c>
    </row>
    <row r="29" spans="1:23" ht="21.75" customHeight="1">
      <c r="B29" s="115" t="s">
        <v>471</v>
      </c>
    </row>
    <row r="30" spans="1:23" ht="21.75" customHeight="1">
      <c r="B30" s="115" t="s">
        <v>472</v>
      </c>
      <c r="C30" s="100">
        <f>ROUND(2*C5*1000*(D16+D14/2-C10)/D13/(D14-C10-C28/3)/C28,2)</f>
        <v>12.71</v>
      </c>
      <c r="D30" s="103" t="s">
        <v>473</v>
      </c>
      <c r="U30" s="371" t="s">
        <v>474</v>
      </c>
      <c r="V30" s="371"/>
    </row>
    <row r="31" spans="1:23" ht="21.75" customHeight="1">
      <c r="B31" s="115" t="s">
        <v>475</v>
      </c>
      <c r="U31" s="100" t="s">
        <v>476</v>
      </c>
      <c r="V31" s="100" t="s">
        <v>33</v>
      </c>
    </row>
    <row r="32" spans="1:23" ht="21.75" customHeight="1">
      <c r="B32" s="115" t="s">
        <v>477</v>
      </c>
      <c r="C32" s="100">
        <f>ROUND(C5*(D16-D14/2+C28/3)/(D14-C10-C28/3),2)</f>
        <v>88.6</v>
      </c>
      <c r="D32" s="103" t="s">
        <v>315</v>
      </c>
      <c r="U32" s="100">
        <v>0.3</v>
      </c>
      <c r="V32" s="100">
        <v>2.7E-2</v>
      </c>
    </row>
    <row r="33" spans="1:22" ht="21.75" customHeight="1">
      <c r="B33" s="115" t="s">
        <v>478</v>
      </c>
      <c r="C33" s="100" t="s">
        <v>479</v>
      </c>
      <c r="D33" s="100">
        <f>C32/2</f>
        <v>44.3</v>
      </c>
      <c r="E33" s="103" t="s">
        <v>315</v>
      </c>
      <c r="U33" s="100">
        <v>0.35</v>
      </c>
      <c r="V33" s="100">
        <v>3.5999999999999997E-2</v>
      </c>
    </row>
    <row r="34" spans="1:22" ht="21.75" customHeight="1">
      <c r="B34" s="115" t="s">
        <v>480</v>
      </c>
      <c r="C34" s="100">
        <f>VLOOKUP(C6,Y6:AB15,2,FALSE)</f>
        <v>205</v>
      </c>
      <c r="D34" s="103" t="s">
        <v>473</v>
      </c>
      <c r="U34" s="100">
        <v>0.4</v>
      </c>
      <c r="V34" s="100">
        <v>4.3999999999999997E-2</v>
      </c>
    </row>
    <row r="35" spans="1:22" ht="21.75" customHeight="1">
      <c r="B35" s="115" t="s">
        <v>481</v>
      </c>
      <c r="C35" s="100" t="s">
        <v>482</v>
      </c>
      <c r="D35" s="100">
        <f>ROUND(C34*C20/1000,2)</f>
        <v>72.36</v>
      </c>
      <c r="E35" s="103" t="s">
        <v>315</v>
      </c>
      <c r="U35" s="100">
        <v>0.45</v>
      </c>
      <c r="V35" s="100">
        <v>5.1999999999999998E-2</v>
      </c>
    </row>
    <row r="36" spans="1:22" ht="21.75" customHeight="1">
      <c r="B36" s="115" t="s">
        <v>483</v>
      </c>
      <c r="C36" s="100" t="str">
        <f>IF(D33&gt;D35,"&gt;","&lt;")</f>
        <v>&lt;</v>
      </c>
      <c r="D36" s="100" t="s">
        <v>484</v>
      </c>
      <c r="E36" s="100" t="s">
        <v>485</v>
      </c>
      <c r="F36" s="182">
        <f>D33/D35</f>
        <v>0.61221669430624603</v>
      </c>
      <c r="U36" s="100">
        <v>0.5</v>
      </c>
      <c r="V36" s="100">
        <v>0.06</v>
      </c>
    </row>
    <row r="37" spans="1:22" ht="21.75" customHeight="1">
      <c r="C37" s="100" t="str">
        <f>IF(D33&gt;D35,"不满足要求","满足要求")</f>
        <v>满足要求</v>
      </c>
      <c r="U37" s="100">
        <v>0.55000000000000004</v>
      </c>
      <c r="V37" s="100">
        <v>6.8000000000000005E-2</v>
      </c>
    </row>
    <row r="38" spans="1:22" ht="21.75" customHeight="1">
      <c r="U38" s="100">
        <v>0.6</v>
      </c>
      <c r="V38" s="100">
        <v>7.4999999999999997E-2</v>
      </c>
    </row>
    <row r="39" spans="1:22" ht="21.75" customHeight="1">
      <c r="A39" s="260">
        <v>3</v>
      </c>
      <c r="B39" s="260" t="s">
        <v>486</v>
      </c>
      <c r="U39" s="100">
        <v>0.65</v>
      </c>
      <c r="V39" s="100">
        <v>8.1000000000000003E-2</v>
      </c>
    </row>
    <row r="40" spans="1:22" ht="21.75" customHeight="1">
      <c r="A40" s="260"/>
      <c r="B40" s="115" t="s">
        <v>487</v>
      </c>
      <c r="C40" s="151">
        <v>22</v>
      </c>
      <c r="D40" s="103" t="s">
        <v>437</v>
      </c>
      <c r="U40" s="100">
        <v>0.7</v>
      </c>
      <c r="V40" s="100">
        <v>8.6999999999999994E-2</v>
      </c>
    </row>
    <row r="41" spans="1:22" ht="21.75" customHeight="1">
      <c r="A41" s="260"/>
      <c r="B41" s="115" t="s">
        <v>488</v>
      </c>
      <c r="C41" s="151" t="s">
        <v>93</v>
      </c>
      <c r="D41" s="103"/>
      <c r="U41" s="100">
        <v>0.75</v>
      </c>
      <c r="V41" s="100">
        <v>9.1999999999999998E-2</v>
      </c>
    </row>
    <row r="42" spans="1:22" ht="21.75" customHeight="1">
      <c r="A42" s="260"/>
      <c r="B42" s="115" t="s">
        <v>489</v>
      </c>
      <c r="C42" s="151">
        <v>8</v>
      </c>
      <c r="D42" s="103" t="s">
        <v>437</v>
      </c>
    </row>
    <row r="43" spans="1:22" ht="21.75" customHeight="1">
      <c r="B43" s="115" t="s">
        <v>490</v>
      </c>
      <c r="C43" s="100">
        <f>VLOOKUP(C41,AB6:AD10,2,FALSE)</f>
        <v>290</v>
      </c>
      <c r="D43" s="103" t="s">
        <v>473</v>
      </c>
      <c r="U43" s="100">
        <v>0.8</v>
      </c>
      <c r="V43" s="100">
        <v>9.7000000000000003E-2</v>
      </c>
    </row>
    <row r="44" spans="1:22" ht="21.75" customHeight="1">
      <c r="B44" s="115" t="s">
        <v>491</v>
      </c>
      <c r="C44" s="100">
        <f>(D14-C11)/2-20</f>
        <v>40</v>
      </c>
      <c r="U44" s="100">
        <v>0.85</v>
      </c>
      <c r="V44" s="100">
        <v>0.10100000000000001</v>
      </c>
    </row>
    <row r="45" spans="1:22" ht="21.75" customHeight="1">
      <c r="B45" s="115" t="s">
        <v>492</v>
      </c>
      <c r="C45" s="100" t="s">
        <v>493</v>
      </c>
      <c r="D45" s="100">
        <f>0.5*C30*C44*C44</f>
        <v>10168</v>
      </c>
      <c r="E45" s="103" t="s">
        <v>494</v>
      </c>
      <c r="U45" s="100">
        <v>0.9</v>
      </c>
      <c r="V45" s="100">
        <v>0.105</v>
      </c>
    </row>
    <row r="46" spans="1:22" ht="21.75" customHeight="1">
      <c r="B46" s="115" t="s">
        <v>495</v>
      </c>
      <c r="C46" s="100" t="s">
        <v>496</v>
      </c>
      <c r="D46" s="100">
        <f>ROUND(SQRT(6*D45/C43),2)</f>
        <v>14.5</v>
      </c>
      <c r="E46" s="103" t="s">
        <v>437</v>
      </c>
      <c r="U46" s="100">
        <v>0.95</v>
      </c>
      <c r="V46" s="100">
        <v>0.109</v>
      </c>
    </row>
    <row r="47" spans="1:22" ht="21.75" customHeight="1">
      <c r="B47" s="115" t="s">
        <v>497</v>
      </c>
      <c r="C47" s="100" t="s">
        <v>498</v>
      </c>
      <c r="D47" s="100">
        <f>ROUND(SQRT(6*D33*1000*C44/C43/(C40+2*C44)),2)</f>
        <v>18.96</v>
      </c>
      <c r="E47" s="103" t="s">
        <v>437</v>
      </c>
      <c r="U47" s="100">
        <v>1</v>
      </c>
      <c r="V47" s="100">
        <v>0.112</v>
      </c>
    </row>
    <row r="48" spans="1:22" ht="21.75" customHeight="1">
      <c r="B48" s="115">
        <f>C42</f>
        <v>8</v>
      </c>
      <c r="C48" s="100" t="str">
        <f>IF(D48&gt;B48,"&lt;","&gt;")</f>
        <v>&lt;</v>
      </c>
      <c r="D48" s="100">
        <f>MAX(D46:D47)</f>
        <v>18.96</v>
      </c>
      <c r="E48" s="103"/>
    </row>
    <row r="49" spans="1:22" ht="21.75" customHeight="1">
      <c r="C49" s="100" t="str">
        <f>IF(B48&gt;D48,"满足要求","不满足要求")</f>
        <v>不满足要求</v>
      </c>
      <c r="E49" s="103"/>
    </row>
    <row r="50" spans="1:22" ht="21.75" customHeight="1">
      <c r="A50" s="260">
        <v>4</v>
      </c>
      <c r="B50" s="260" t="s">
        <v>499</v>
      </c>
      <c r="U50" s="100">
        <v>1.1000000000000001</v>
      </c>
      <c r="V50" s="100">
        <v>0.11700000000000001</v>
      </c>
    </row>
    <row r="51" spans="1:22" ht="21.75" customHeight="1">
      <c r="B51" s="115" t="s">
        <v>500</v>
      </c>
      <c r="C51" s="100">
        <f>VLOOKUP(C41,AB6:AD10,3,FALSE)</f>
        <v>170</v>
      </c>
      <c r="D51" s="103" t="s">
        <v>473</v>
      </c>
      <c r="U51" s="100">
        <v>1.2</v>
      </c>
      <c r="V51" s="100">
        <v>0.121</v>
      </c>
    </row>
    <row r="52" spans="1:22" ht="21.75" customHeight="1">
      <c r="B52" s="115" t="s">
        <v>501</v>
      </c>
      <c r="C52" s="151">
        <v>8</v>
      </c>
      <c r="D52" s="100" t="s">
        <v>437</v>
      </c>
      <c r="U52" s="100">
        <v>1.3</v>
      </c>
      <c r="V52" s="100">
        <v>0.124</v>
      </c>
    </row>
    <row r="53" spans="1:22" ht="21.75" customHeight="1">
      <c r="B53" s="115" t="s">
        <v>502</v>
      </c>
      <c r="C53" s="151">
        <v>150</v>
      </c>
      <c r="D53" s="100" t="s">
        <v>437</v>
      </c>
      <c r="U53" s="100">
        <v>1.4</v>
      </c>
      <c r="V53" s="100">
        <v>0.126</v>
      </c>
    </row>
    <row r="54" spans="1:22" ht="21.75" customHeight="1">
      <c r="B54" s="115" t="s">
        <v>503</v>
      </c>
      <c r="C54" s="100" t="s">
        <v>504</v>
      </c>
      <c r="D54" s="100">
        <f>ROUND(2*D33*1000/C53/C52,2)</f>
        <v>73.83</v>
      </c>
      <c r="E54" s="103" t="s">
        <v>473</v>
      </c>
      <c r="U54" s="100">
        <v>1.5</v>
      </c>
      <c r="V54" s="100">
        <v>0.128</v>
      </c>
    </row>
    <row r="55" spans="1:22" ht="21.75" customHeight="1">
      <c r="B55" s="115" t="s">
        <v>505</v>
      </c>
      <c r="C55" s="100" t="s">
        <v>506</v>
      </c>
      <c r="D55" s="100">
        <f>ROUND(5*D33*C44*1000/C52/C53/C53,2)</f>
        <v>49.22</v>
      </c>
      <c r="E55" s="103" t="s">
        <v>473</v>
      </c>
      <c r="U55" s="100">
        <v>1.75</v>
      </c>
      <c r="V55" s="100">
        <v>0.13</v>
      </c>
    </row>
    <row r="56" spans="1:22" ht="21.75" customHeight="1">
      <c r="B56" s="115" t="s">
        <v>507</v>
      </c>
      <c r="C56" s="100" t="str">
        <f>IF(C51&gt;D54,"&lt;","&gt;")</f>
        <v>&lt;</v>
      </c>
      <c r="D56" s="100" t="s">
        <v>508</v>
      </c>
      <c r="U56" s="100">
        <v>2</v>
      </c>
      <c r="V56" s="100">
        <v>0.13200000000000001</v>
      </c>
    </row>
    <row r="57" spans="1:22" ht="21.75" customHeight="1">
      <c r="B57" s="115" t="s">
        <v>509</v>
      </c>
      <c r="C57" s="100" t="str">
        <f>IF(C51&gt;D55,"&lt;","&gt;")</f>
        <v>&lt;</v>
      </c>
      <c r="D57" s="100" t="s">
        <v>508</v>
      </c>
      <c r="U57" s="100">
        <v>2.1</v>
      </c>
      <c r="V57" s="100">
        <v>0.13300000000000001</v>
      </c>
    </row>
    <row r="58" spans="1:22" ht="21.75" customHeight="1">
      <c r="C58" s="100" t="str">
        <f>IF(C51&gt;D55,"满足要求","不满足要求")</f>
        <v>满足要求</v>
      </c>
    </row>
  </sheetData>
  <sheetProtection password="CE28" sheet="1" objects="1" scenarios="1"/>
  <mergeCells count="3">
    <mergeCell ref="A1:F1"/>
    <mergeCell ref="I1:L1"/>
    <mergeCell ref="U30:V30"/>
  </mergeCells>
  <phoneticPr fontId="80" type="noConversion"/>
  <dataValidations count="3">
    <dataValidation type="list" allowBlank="1" showInputMessage="1" showErrorMessage="1" sqref="C6" xr:uid="{00000000-0002-0000-0600-000000000000}">
      <formula1>$Y$6:$Y$15</formula1>
    </dataValidation>
    <dataValidation type="list" allowBlank="1" showInputMessage="1" showErrorMessage="1" sqref="C7" xr:uid="{00000000-0002-0000-0600-000001000000}">
      <formula1>$S$6:$S$23</formula1>
    </dataValidation>
    <dataValidation type="list" allowBlank="1" showInputMessage="1" showErrorMessage="1" sqref="C41" xr:uid="{00000000-0002-0000-0600-000002000000}">
      <formula1>$AB$6:$AB$9</formula1>
    </dataValidation>
  </dataValidations>
  <pageMargins left="0.70866141732283505" right="0.70866141732283505" top="0.74803149606299202" bottom="0.74803149606299202" header="0.31496062992126" footer="0.31496062992126"/>
  <pageSetup paperSize="9" orientation="portrait"/>
  <headerFooter>
    <oddFooter>&amp;C第 &amp;P 页，共 &amp;N 页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38"/>
  <sheetViews>
    <sheetView topLeftCell="A4" workbookViewId="0">
      <selection activeCell="L27" sqref="L27"/>
    </sheetView>
  </sheetViews>
  <sheetFormatPr defaultColWidth="11.375" defaultRowHeight="23.25" customHeight="1"/>
  <cols>
    <col min="1" max="1" width="23" style="1" customWidth="1"/>
    <col min="2" max="2" width="19.75" style="1" customWidth="1"/>
    <col min="3" max="3" width="8.25" style="1" customWidth="1"/>
    <col min="4" max="4" width="11.375" style="1"/>
    <col min="5" max="5" width="9.5" style="127" customWidth="1"/>
    <col min="6" max="6" width="10" style="1" customWidth="1"/>
    <col min="7" max="16384" width="11.375" style="1"/>
  </cols>
  <sheetData>
    <row r="1" spans="1:9" ht="48" customHeight="1">
      <c r="A1" s="406" t="s">
        <v>11</v>
      </c>
      <c r="B1" s="406"/>
      <c r="C1" s="406"/>
      <c r="D1" s="406"/>
      <c r="E1" s="406"/>
      <c r="F1" s="406"/>
    </row>
    <row r="2" spans="1:9" ht="27.75" customHeight="1">
      <c r="A2" s="123" t="s">
        <v>510</v>
      </c>
      <c r="B2" s="407" t="s">
        <v>511</v>
      </c>
      <c r="C2" s="407"/>
      <c r="D2" s="248"/>
      <c r="E2" s="407" t="s">
        <v>512</v>
      </c>
      <c r="F2" s="407"/>
    </row>
    <row r="3" spans="1:9" s="100" customFormat="1" ht="22.5" customHeight="1">
      <c r="A3" s="158" t="s">
        <v>394</v>
      </c>
      <c r="B3" s="249"/>
      <c r="C3" s="249"/>
      <c r="D3" s="249"/>
      <c r="E3" s="250"/>
    </row>
    <row r="4" spans="1:9" s="100" customFormat="1" ht="23.25" customHeight="1">
      <c r="A4" s="115" t="s">
        <v>513</v>
      </c>
      <c r="B4" s="164">
        <v>30</v>
      </c>
      <c r="C4" s="103" t="s">
        <v>17</v>
      </c>
      <c r="D4" s="115" t="s">
        <v>514</v>
      </c>
      <c r="E4" s="103">
        <f>B4^2/1600</f>
        <v>0.5625</v>
      </c>
      <c r="F4" s="103" t="s">
        <v>339</v>
      </c>
      <c r="G4" s="251"/>
      <c r="H4" s="251"/>
      <c r="I4" s="158"/>
    </row>
    <row r="5" spans="1:9" s="100" customFormat="1" ht="23.25" customHeight="1">
      <c r="A5" s="115" t="s">
        <v>515</v>
      </c>
      <c r="B5" s="164">
        <v>14</v>
      </c>
      <c r="C5" s="103" t="s">
        <v>17</v>
      </c>
      <c r="D5" s="115" t="s">
        <v>516</v>
      </c>
      <c r="E5" s="103">
        <f>B5^2/1600</f>
        <v>0.1225</v>
      </c>
      <c r="F5" s="103" t="s">
        <v>339</v>
      </c>
      <c r="G5" s="251"/>
      <c r="H5" s="251"/>
      <c r="I5" s="158"/>
    </row>
    <row r="6" spans="1:9" s="100" customFormat="1" ht="23.25" customHeight="1">
      <c r="A6" s="115" t="s">
        <v>517</v>
      </c>
      <c r="B6" s="164">
        <v>1.1339999999999999</v>
      </c>
      <c r="C6" s="103" t="s">
        <v>36</v>
      </c>
      <c r="D6" s="100" t="s">
        <v>518</v>
      </c>
      <c r="E6" s="252">
        <v>0.20300000000000001</v>
      </c>
      <c r="F6" s="103" t="s">
        <v>36</v>
      </c>
      <c r="G6" s="251"/>
      <c r="H6" s="251"/>
      <c r="I6" s="158"/>
    </row>
    <row r="7" spans="1:9" s="100" customFormat="1" ht="23.25" customHeight="1">
      <c r="A7" s="115" t="s">
        <v>98</v>
      </c>
      <c r="B7" s="164">
        <v>4.57</v>
      </c>
      <c r="C7" s="103" t="s">
        <v>36</v>
      </c>
      <c r="D7" s="100" t="s">
        <v>519</v>
      </c>
      <c r="E7" s="103">
        <v>0.2</v>
      </c>
      <c r="F7" s="103"/>
      <c r="G7" s="251"/>
      <c r="H7" s="251"/>
      <c r="I7" s="158"/>
    </row>
    <row r="8" spans="1:9" s="100" customFormat="1" ht="23.25" customHeight="1">
      <c r="A8" s="115" t="s">
        <v>520</v>
      </c>
      <c r="B8" s="253">
        <f>B7*B6</f>
        <v>5.1823800000000002</v>
      </c>
      <c r="C8" s="103" t="s">
        <v>100</v>
      </c>
      <c r="D8" s="100" t="s">
        <v>521</v>
      </c>
      <c r="E8" s="252">
        <v>0</v>
      </c>
      <c r="F8" s="103" t="s">
        <v>522</v>
      </c>
      <c r="G8" s="251"/>
      <c r="H8" s="251"/>
      <c r="I8" s="158"/>
    </row>
    <row r="9" spans="1:9" s="100" customFormat="1" ht="23.25" customHeight="1">
      <c r="A9" s="115" t="s">
        <v>94</v>
      </c>
      <c r="B9" s="164">
        <v>0.64</v>
      </c>
      <c r="C9" s="103" t="s">
        <v>315</v>
      </c>
      <c r="E9" s="103"/>
      <c r="F9" s="103"/>
      <c r="G9" s="251"/>
      <c r="H9" s="251"/>
      <c r="I9" s="158"/>
    </row>
    <row r="10" spans="1:9" s="100" customFormat="1" ht="23.25" customHeight="1">
      <c r="A10" s="115" t="s">
        <v>523</v>
      </c>
      <c r="B10" s="164">
        <v>0.1</v>
      </c>
      <c r="C10" s="115"/>
      <c r="E10" s="103"/>
      <c r="G10" s="251"/>
      <c r="H10" s="251"/>
      <c r="I10" s="158"/>
    </row>
    <row r="11" spans="1:9" s="100" customFormat="1" ht="23.25" customHeight="1">
      <c r="A11" s="115" t="s">
        <v>524</v>
      </c>
      <c r="B11" s="164">
        <v>0.06</v>
      </c>
      <c r="C11" s="115"/>
      <c r="E11" s="103"/>
      <c r="G11" s="251"/>
      <c r="H11" s="251"/>
      <c r="I11" s="158"/>
    </row>
    <row r="12" spans="1:9" s="100" customFormat="1" ht="23.25" customHeight="1">
      <c r="A12" s="115" t="s">
        <v>525</v>
      </c>
      <c r="B12" s="164">
        <v>1.4</v>
      </c>
      <c r="C12" s="115"/>
      <c r="E12" s="103"/>
      <c r="G12" s="251"/>
      <c r="H12" s="251"/>
      <c r="I12" s="158"/>
    </row>
    <row r="13" spans="1:9" s="100" customFormat="1" ht="23.25" customHeight="1">
      <c r="A13" s="115" t="s">
        <v>526</v>
      </c>
      <c r="B13" s="164">
        <v>1</v>
      </c>
      <c r="C13" s="115"/>
      <c r="E13" s="103"/>
      <c r="G13" s="251"/>
      <c r="H13" s="251"/>
      <c r="I13" s="158"/>
    </row>
    <row r="14" spans="1:9" s="100" customFormat="1" ht="23.25" customHeight="1">
      <c r="A14" s="115" t="s">
        <v>527</v>
      </c>
      <c r="B14" s="164">
        <v>60</v>
      </c>
      <c r="C14" s="115"/>
      <c r="E14" s="103"/>
      <c r="G14" s="251"/>
      <c r="H14" s="251"/>
      <c r="I14" s="158"/>
    </row>
    <row r="15" spans="1:9" s="100" customFormat="1" ht="23.25" customHeight="1">
      <c r="A15" s="115" t="s">
        <v>528</v>
      </c>
      <c r="B15" s="164">
        <v>115</v>
      </c>
      <c r="C15" s="103" t="s">
        <v>437</v>
      </c>
      <c r="D15" s="115"/>
      <c r="E15" s="103"/>
      <c r="F15" s="251"/>
      <c r="G15" s="251"/>
      <c r="H15" s="251"/>
      <c r="I15" s="158"/>
    </row>
    <row r="16" spans="1:9" s="100" customFormat="1" ht="20.25" customHeight="1">
      <c r="A16" s="158"/>
      <c r="D16" s="115"/>
      <c r="E16" s="103"/>
      <c r="F16" s="251"/>
      <c r="G16" s="251"/>
      <c r="H16" s="251"/>
      <c r="I16" s="158"/>
    </row>
    <row r="17" spans="1:9" s="100" customFormat="1" ht="23.25" customHeight="1">
      <c r="A17" s="158" t="s">
        <v>529</v>
      </c>
      <c r="D17" s="115"/>
      <c r="E17" s="103"/>
      <c r="F17" s="251"/>
      <c r="G17" s="251"/>
      <c r="H17" s="251"/>
      <c r="I17" s="158"/>
    </row>
    <row r="18" spans="1:9" s="100" customFormat="1" ht="23.25" customHeight="1">
      <c r="A18" s="115" t="s">
        <v>530</v>
      </c>
      <c r="B18" s="115" t="s">
        <v>531</v>
      </c>
      <c r="C18" s="253">
        <f>ROUND(E4*B8*B7*B10*B14*B12,2)</f>
        <v>111.9</v>
      </c>
      <c r="D18" s="103" t="s">
        <v>400</v>
      </c>
      <c r="E18" s="103"/>
      <c r="F18" s="251"/>
      <c r="G18" s="251"/>
      <c r="H18" s="251"/>
      <c r="I18" s="158"/>
    </row>
    <row r="19" spans="1:9" s="100" customFormat="1" ht="23.25" customHeight="1">
      <c r="A19" s="115" t="s">
        <v>532</v>
      </c>
      <c r="B19" s="115" t="s">
        <v>533</v>
      </c>
      <c r="C19" s="253">
        <f>ROUND(E5*B8*B7*B10*B14*B13,2)</f>
        <v>17.41</v>
      </c>
      <c r="D19" s="103" t="s">
        <v>400</v>
      </c>
      <c r="E19" s="103"/>
      <c r="F19" s="251"/>
      <c r="G19" s="251"/>
      <c r="H19" s="251"/>
      <c r="I19" s="158"/>
    </row>
    <row r="20" spans="1:9" s="100" customFormat="1" ht="23.25" customHeight="1">
      <c r="A20" s="115" t="s">
        <v>534</v>
      </c>
      <c r="B20" s="115" t="s">
        <v>535</v>
      </c>
      <c r="C20" s="253">
        <f>B9*B14*B15*COS(RADIANS(90-E8))/1000</f>
        <v>2.7040201325173598E-16</v>
      </c>
      <c r="D20" s="103" t="s">
        <v>400</v>
      </c>
      <c r="E20" s="103"/>
      <c r="F20" s="251"/>
      <c r="G20" s="251"/>
      <c r="H20" s="251"/>
      <c r="I20" s="158"/>
    </row>
    <row r="21" spans="1:9" s="100" customFormat="1" ht="23.25" customHeight="1">
      <c r="A21" s="115" t="s">
        <v>536</v>
      </c>
      <c r="B21" s="115" t="s">
        <v>537</v>
      </c>
      <c r="C21" s="253">
        <f>E5*B8*B11*B14*E7*E6/2</f>
        <v>4.6394220473999999E-2</v>
      </c>
      <c r="D21" s="103" t="s">
        <v>400</v>
      </c>
      <c r="E21" s="103"/>
      <c r="F21" s="251"/>
      <c r="G21" s="251"/>
      <c r="H21" s="251"/>
      <c r="I21" s="158"/>
    </row>
    <row r="22" spans="1:9" s="100" customFormat="1" ht="23.25" customHeight="1">
      <c r="A22" s="115" t="s">
        <v>538</v>
      </c>
      <c r="B22" s="115" t="s">
        <v>539</v>
      </c>
      <c r="C22" s="253">
        <f>B9*B14*E7*E6/2</f>
        <v>0.77951999999999999</v>
      </c>
      <c r="D22" s="103" t="s">
        <v>400</v>
      </c>
      <c r="E22" s="103"/>
      <c r="F22" s="251"/>
      <c r="G22" s="251"/>
      <c r="H22" s="251"/>
      <c r="I22" s="158"/>
    </row>
    <row r="23" spans="1:9" s="100" customFormat="1" ht="23.25" customHeight="1">
      <c r="A23" s="115"/>
      <c r="B23" s="115"/>
      <c r="C23" s="253"/>
      <c r="D23" s="103"/>
      <c r="E23" s="103"/>
      <c r="F23" s="251"/>
      <c r="G23" s="251"/>
      <c r="H23" s="251"/>
      <c r="I23" s="158"/>
    </row>
    <row r="24" spans="1:9" s="100" customFormat="1" ht="23.25" customHeight="1">
      <c r="A24" s="254"/>
      <c r="B24" s="255"/>
      <c r="C24" s="255"/>
      <c r="D24" s="255"/>
      <c r="E24" s="256"/>
      <c r="F24" s="257"/>
      <c r="G24" s="251"/>
      <c r="H24" s="251"/>
      <c r="I24" s="158"/>
    </row>
    <row r="25" spans="1:9" s="100" customFormat="1" ht="23.25" customHeight="1">
      <c r="A25" s="115"/>
      <c r="B25" s="115"/>
      <c r="C25" s="115"/>
      <c r="D25" s="115"/>
      <c r="E25" s="103"/>
      <c r="F25" s="251"/>
      <c r="G25" s="251"/>
      <c r="H25" s="251"/>
      <c r="I25" s="158"/>
    </row>
    <row r="26" spans="1:9" s="100" customFormat="1" ht="23.25" customHeight="1">
      <c r="A26" s="251" t="s">
        <v>540</v>
      </c>
      <c r="B26" s="251"/>
      <c r="C26" s="251"/>
      <c r="D26" s="251"/>
      <c r="E26" s="258"/>
      <c r="F26" s="251"/>
      <c r="H26" s="251"/>
      <c r="I26" s="158"/>
    </row>
    <row r="27" spans="1:9" s="100" customFormat="1" ht="23.25" customHeight="1">
      <c r="A27" s="251" t="s">
        <v>541</v>
      </c>
      <c r="B27" s="251" t="s">
        <v>542</v>
      </c>
      <c r="C27" s="158">
        <f>ROUND(C19+C20+C21+C22,2)</f>
        <v>18.239999999999998</v>
      </c>
      <c r="D27" s="258" t="s">
        <v>400</v>
      </c>
      <c r="E27" s="258"/>
      <c r="F27" s="251"/>
      <c r="G27" s="251"/>
      <c r="H27" s="251"/>
      <c r="I27" s="158"/>
    </row>
    <row r="28" spans="1:9" s="100" customFormat="1" ht="23.25" customHeight="1">
      <c r="A28" s="251" t="s">
        <v>543</v>
      </c>
      <c r="B28" s="251" t="s">
        <v>544</v>
      </c>
      <c r="C28" s="158">
        <f>ROUND(C18+C20,2)</f>
        <v>111.9</v>
      </c>
      <c r="D28" s="258" t="s">
        <v>400</v>
      </c>
      <c r="E28" s="251"/>
      <c r="F28" s="115"/>
      <c r="G28" s="115"/>
      <c r="H28" s="251"/>
    </row>
    <row r="29" spans="1:9" s="100" customFormat="1" ht="23.25" customHeight="1">
      <c r="A29" s="251"/>
      <c r="B29" s="251"/>
      <c r="C29" s="251"/>
      <c r="D29" s="251"/>
      <c r="E29" s="251"/>
      <c r="F29" s="115"/>
      <c r="G29" s="115"/>
      <c r="H29" s="251"/>
    </row>
    <row r="30" spans="1:9" s="100" customFormat="1" ht="23.25" customHeight="1">
      <c r="A30" s="251"/>
      <c r="B30" s="251"/>
      <c r="C30" s="251"/>
      <c r="D30" s="251"/>
      <c r="E30" s="251"/>
      <c r="F30" s="115"/>
      <c r="G30" s="115"/>
      <c r="H30" s="251"/>
    </row>
    <row r="31" spans="1:9" s="100" customFormat="1" ht="23.25" customHeight="1">
      <c r="A31" s="115"/>
      <c r="B31" s="115"/>
      <c r="C31" s="115"/>
      <c r="D31" s="115"/>
      <c r="E31" s="115"/>
      <c r="F31" s="115"/>
      <c r="G31" s="115"/>
      <c r="H31" s="251"/>
    </row>
    <row r="32" spans="1:9" s="100" customFormat="1" ht="23.25" customHeight="1">
      <c r="E32" s="103"/>
    </row>
    <row r="33" spans="1:9" s="100" customFormat="1" ht="23.25" customHeight="1">
      <c r="A33" s="408" t="s">
        <v>545</v>
      </c>
      <c r="B33" s="408"/>
      <c r="C33" s="408"/>
      <c r="D33" s="408"/>
      <c r="E33" s="408"/>
      <c r="F33" s="408"/>
      <c r="G33" s="157"/>
      <c r="H33" s="157"/>
      <c r="I33" s="157"/>
    </row>
    <row r="34" spans="1:9" s="100" customFormat="1" ht="23.25" customHeight="1">
      <c r="E34" s="103"/>
    </row>
    <row r="35" spans="1:9" s="100" customFormat="1" ht="23.25" customHeight="1">
      <c r="E35" s="103"/>
    </row>
    <row r="36" spans="1:9" s="100" customFormat="1" ht="23.25" customHeight="1">
      <c r="E36" s="103"/>
    </row>
    <row r="37" spans="1:9" s="100" customFormat="1" ht="23.25" customHeight="1">
      <c r="E37" s="103"/>
    </row>
    <row r="38" spans="1:9" s="100" customFormat="1" ht="23.25" customHeight="1">
      <c r="E38" s="103"/>
    </row>
  </sheetData>
  <sheetProtection password="CE28" sheet="1" objects="1" scenarios="1"/>
  <mergeCells count="4">
    <mergeCell ref="A1:F1"/>
    <mergeCell ref="B2:C2"/>
    <mergeCell ref="E2:F2"/>
    <mergeCell ref="A33:F33"/>
  </mergeCells>
  <phoneticPr fontId="80" type="noConversion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0"/>
  <sheetViews>
    <sheetView workbookViewId="0">
      <selection activeCell="O15" sqref="O15"/>
    </sheetView>
  </sheetViews>
  <sheetFormatPr defaultColWidth="9" defaultRowHeight="26.25" customHeight="1"/>
  <cols>
    <col min="1" max="16384" width="9" style="1"/>
  </cols>
  <sheetData>
    <row r="1" spans="1:6" ht="26.25" customHeight="1">
      <c r="A1" s="409" t="s">
        <v>546</v>
      </c>
      <c r="B1" s="409"/>
      <c r="C1" s="409"/>
      <c r="D1" s="409"/>
      <c r="E1" s="409"/>
    </row>
    <row r="2" spans="1:6" ht="26.25" customHeight="1">
      <c r="A2" s="127" t="s">
        <v>547</v>
      </c>
    </row>
    <row r="3" spans="1:6" ht="26.25" customHeight="1">
      <c r="A3" s="1" t="s">
        <v>548</v>
      </c>
      <c r="B3" s="247">
        <v>0.35</v>
      </c>
      <c r="C3" s="1" t="s">
        <v>339</v>
      </c>
    </row>
    <row r="4" spans="1:6" ht="26.25" customHeight="1">
      <c r="A4" s="1" t="s">
        <v>549</v>
      </c>
      <c r="B4" s="247">
        <v>0.2</v>
      </c>
      <c r="C4" s="1" t="s">
        <v>339</v>
      </c>
      <c r="D4" s="1" t="s">
        <v>550</v>
      </c>
      <c r="E4" s="1">
        <f>B4+(B5-B4)*(LN(25)/LN(10)-1)</f>
        <v>0.299485002168009</v>
      </c>
      <c r="F4" s="1" t="s">
        <v>339</v>
      </c>
    </row>
    <row r="5" spans="1:6" ht="26.25" customHeight="1">
      <c r="A5" s="1" t="s">
        <v>551</v>
      </c>
      <c r="B5" s="247">
        <v>0.45</v>
      </c>
      <c r="C5" s="1" t="s">
        <v>339</v>
      </c>
    </row>
    <row r="7" spans="1:6" ht="26.25" customHeight="1">
      <c r="A7" s="1" t="s">
        <v>552</v>
      </c>
    </row>
    <row r="8" spans="1:6" ht="26.25" customHeight="1">
      <c r="A8" s="1" t="s">
        <v>553</v>
      </c>
      <c r="B8" s="247">
        <v>0.55000000000000004</v>
      </c>
      <c r="C8" s="1" t="s">
        <v>339</v>
      </c>
    </row>
    <row r="9" spans="1:6" ht="26.25" customHeight="1">
      <c r="A9" s="1" t="s">
        <v>554</v>
      </c>
      <c r="B9" s="247">
        <v>0.35</v>
      </c>
      <c r="C9" s="1" t="s">
        <v>339</v>
      </c>
      <c r="D9" s="1" t="s">
        <v>555</v>
      </c>
      <c r="E9" s="1">
        <f>B9+(B10-B9)*(LN(25)/LN(10)-1)</f>
        <v>0.469382002601611</v>
      </c>
      <c r="F9" s="1" t="s">
        <v>339</v>
      </c>
    </row>
    <row r="10" spans="1:6" ht="26.25" customHeight="1">
      <c r="A10" s="1" t="s">
        <v>556</v>
      </c>
      <c r="B10" s="247">
        <v>0.65</v>
      </c>
      <c r="C10" s="1" t="s">
        <v>339</v>
      </c>
    </row>
  </sheetData>
  <sheetProtection password="CE28" sheet="1" objects="1" scenarios="1"/>
  <mergeCells count="1">
    <mergeCell ref="A1:E1"/>
  </mergeCells>
  <phoneticPr fontId="80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A41"/>
  <sheetViews>
    <sheetView topLeftCell="A19" workbookViewId="0">
      <selection activeCell="K13" sqref="K13"/>
    </sheetView>
  </sheetViews>
  <sheetFormatPr defaultColWidth="11.625" defaultRowHeight="25.5" customHeight="1"/>
  <cols>
    <col min="1" max="1" width="5.625" style="114" customWidth="1"/>
    <col min="2" max="2" width="14.625" style="114" customWidth="1"/>
    <col min="3" max="3" width="12.125" style="114" customWidth="1"/>
    <col min="4" max="4" width="7.875" style="114" customWidth="1"/>
    <col min="5" max="5" width="9.375" style="114" customWidth="1"/>
    <col min="6" max="6" width="7" style="114" customWidth="1"/>
    <col min="7" max="7" width="12.75" style="114" customWidth="1"/>
    <col min="8" max="8" width="10" style="114" customWidth="1"/>
    <col min="9" max="9" width="6.875" style="114" customWidth="1"/>
    <col min="10" max="10" width="11" style="114" customWidth="1"/>
    <col min="11" max="11" width="9" style="114" customWidth="1"/>
    <col min="12" max="12" width="5.625" style="114" customWidth="1"/>
    <col min="13" max="13" width="10.125" style="114" customWidth="1"/>
    <col min="14" max="14" width="9.625" style="114" customWidth="1"/>
    <col min="15" max="15" width="11.625" style="114"/>
    <col min="16" max="16" width="11.625" style="114" hidden="1" customWidth="1"/>
    <col min="17" max="21" width="9.375" style="114" hidden="1" customWidth="1"/>
    <col min="22" max="22" width="11.625" style="114"/>
    <col min="23" max="27" width="11.625" style="114" hidden="1" customWidth="1"/>
    <col min="28" max="16384" width="11.625" style="114"/>
  </cols>
  <sheetData>
    <row r="1" spans="1:27" ht="25.5" customHeight="1">
      <c r="A1" s="410" t="s">
        <v>557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Q1" s="224"/>
      <c r="R1" s="224"/>
      <c r="S1" s="224"/>
      <c r="T1" s="224"/>
      <c r="U1" s="224"/>
    </row>
    <row r="2" spans="1:27" ht="25.5" customHeight="1">
      <c r="A2" s="224" t="s">
        <v>558</v>
      </c>
      <c r="B2" s="225" t="s">
        <v>559</v>
      </c>
      <c r="C2" s="225">
        <f>IF(A7&lt;660/SQRT(I2/1.111),I2/1.111,(1-(SQRT((I2/1.111))*A7)*0.000448)*1.42*((I2/1.111)))</f>
        <v>290.94777121245698</v>
      </c>
      <c r="D2" s="225" t="s">
        <v>109</v>
      </c>
      <c r="E2" s="226"/>
      <c r="F2" s="224"/>
      <c r="G2" s="227" t="s">
        <v>560</v>
      </c>
      <c r="H2" s="228" t="s">
        <v>73</v>
      </c>
      <c r="I2" s="238">
        <v>345</v>
      </c>
      <c r="J2" s="411" t="s">
        <v>561</v>
      </c>
      <c r="K2" s="412"/>
      <c r="L2" s="412"/>
      <c r="M2" s="228" t="s">
        <v>73</v>
      </c>
      <c r="N2" s="238">
        <v>420</v>
      </c>
      <c r="P2" s="239"/>
      <c r="Q2" s="239"/>
      <c r="R2" s="239"/>
      <c r="S2" s="239"/>
      <c r="T2" s="239"/>
      <c r="U2" s="224"/>
    </row>
    <row r="3" spans="1:27" ht="18.95" customHeight="1">
      <c r="A3" s="413" t="s">
        <v>562</v>
      </c>
      <c r="B3" s="413"/>
      <c r="C3" s="414"/>
      <c r="D3" s="212" t="s">
        <v>33</v>
      </c>
      <c r="E3" s="213">
        <v>45</v>
      </c>
      <c r="G3" s="215" t="s">
        <v>563</v>
      </c>
      <c r="H3" s="216"/>
      <c r="I3" s="240" t="s">
        <v>315</v>
      </c>
      <c r="J3" s="215" t="s">
        <v>564</v>
      </c>
      <c r="K3" s="214">
        <f>C8/E4</f>
        <v>58067.419663019602</v>
      </c>
      <c r="L3" s="222" t="s">
        <v>115</v>
      </c>
      <c r="M3" s="214" t="s">
        <v>565</v>
      </c>
      <c r="N3" s="241">
        <f>0.6*N2*0.9</f>
        <v>226.8</v>
      </c>
      <c r="P3" s="111" t="s">
        <v>566</v>
      </c>
      <c r="Q3" s="239">
        <f>(C4-A5-A5)/C5</f>
        <v>45.090909090909101</v>
      </c>
      <c r="R3" s="239"/>
      <c r="S3" s="239">
        <f>1.1*SQRT(Q4*200000/N2)</f>
        <v>53.674504012169301</v>
      </c>
      <c r="T3" s="239" t="s">
        <v>567</v>
      </c>
      <c r="U3" s="239">
        <f>S3/Q3</f>
        <v>1.1903619841408499</v>
      </c>
      <c r="X3" s="114" t="s">
        <v>568</v>
      </c>
    </row>
    <row r="4" spans="1:27" ht="18.95" customHeight="1">
      <c r="A4" s="229" t="s">
        <v>569</v>
      </c>
      <c r="B4" s="214" t="s">
        <v>570</v>
      </c>
      <c r="C4" s="216">
        <v>130</v>
      </c>
      <c r="D4" s="214" t="s">
        <v>571</v>
      </c>
      <c r="E4" s="217">
        <f>0.707*C4*COS(RADIANS(E3))</f>
        <v>64.990184258855606</v>
      </c>
      <c r="G4" s="215" t="s">
        <v>86</v>
      </c>
      <c r="H4" s="223">
        <f>0.563/(C4-C5)/C5</f>
        <v>1.6088587247722801E-3</v>
      </c>
      <c r="I4" s="240"/>
      <c r="J4" s="215" t="s">
        <v>572</v>
      </c>
      <c r="K4" s="214">
        <f>(C4-C5*2)*C5*(C4*0.5-C5*0.5)*2+(C5*C4/2*C4/4*2)*2</f>
        <v>66804.71875</v>
      </c>
      <c r="L4" s="222" t="s">
        <v>115</v>
      </c>
      <c r="M4" s="214" t="s">
        <v>573</v>
      </c>
      <c r="N4" s="241">
        <f>2*(C4-C5)*(C4-C5)*C5-4.5*(4-3.14)*C5^3</f>
        <v>88978.609843750004</v>
      </c>
      <c r="P4" s="111" t="s">
        <v>574</v>
      </c>
      <c r="Q4" s="239">
        <v>5</v>
      </c>
      <c r="R4" s="239"/>
      <c r="S4" s="239">
        <f>1.37*SQRT(Q4*200000/N2)</f>
        <v>66.849154996974505</v>
      </c>
      <c r="T4" s="239" t="s">
        <v>567</v>
      </c>
      <c r="U4" s="239">
        <f>1.51*200000*Q4/N2/Q3/Q3</f>
        <v>1.76827445988801</v>
      </c>
      <c r="W4" s="114">
        <f>(C4-C5-C5-12)/C5</f>
        <v>40.909090909090899</v>
      </c>
      <c r="X4" s="114">
        <f>SQRT(310)*W4</f>
        <v>720.27887161332296</v>
      </c>
      <c r="Y4" s="114">
        <f>(1-(SQRT(310)*W4)*0.000448)*1.42*310</f>
        <v>298.154091840685</v>
      </c>
    </row>
    <row r="5" spans="1:27" ht="18.95" customHeight="1">
      <c r="A5" s="230">
        <v>3</v>
      </c>
      <c r="B5" s="214" t="s">
        <v>575</v>
      </c>
      <c r="C5" s="216">
        <v>2.75</v>
      </c>
      <c r="D5" s="214" t="s">
        <v>576</v>
      </c>
      <c r="E5" s="217">
        <f>0.707*C4*SIN(RADIANS(E3))</f>
        <v>64.990184258855606</v>
      </c>
      <c r="G5" s="215" t="s">
        <v>577</v>
      </c>
      <c r="H5" s="223">
        <f>H3*H4*1000</f>
        <v>0</v>
      </c>
      <c r="I5" s="240"/>
      <c r="J5" s="215" t="s">
        <v>578</v>
      </c>
      <c r="K5" s="214">
        <f>0.6*N2*Q6*Q5/1000</f>
        <v>164.24100000000001</v>
      </c>
      <c r="L5" s="222" t="s">
        <v>315</v>
      </c>
      <c r="M5" s="214" t="s">
        <v>579</v>
      </c>
      <c r="N5" s="241">
        <f>N4*N3/1000000</f>
        <v>20.180348712562498</v>
      </c>
      <c r="P5" s="111" t="s">
        <v>580</v>
      </c>
      <c r="Q5" s="239">
        <f>IF(Q3&lt;S3,1,IF(Q3&gt;S4,U4,U3))</f>
        <v>1</v>
      </c>
      <c r="R5" s="239"/>
      <c r="S5" s="239"/>
      <c r="T5" s="239"/>
      <c r="U5" s="239"/>
    </row>
    <row r="6" spans="1:27" ht="34.5" customHeight="1">
      <c r="A6" s="229" t="s">
        <v>89</v>
      </c>
      <c r="B6" s="231" t="s">
        <v>581</v>
      </c>
      <c r="C6" s="216">
        <v>25</v>
      </c>
      <c r="D6" s="214" t="s">
        <v>582</v>
      </c>
      <c r="E6" s="217">
        <f>C6*1000*1000*E5/C8</f>
        <v>430.53402656914199</v>
      </c>
      <c r="G6" s="215" t="s">
        <v>583</v>
      </c>
      <c r="H6" s="216"/>
      <c r="I6" s="240" t="s">
        <v>400</v>
      </c>
      <c r="J6" s="215" t="s">
        <v>584</v>
      </c>
      <c r="K6" s="214">
        <f>H3/K5</f>
        <v>0</v>
      </c>
      <c r="L6" s="222"/>
      <c r="M6" s="214" t="s">
        <v>585</v>
      </c>
      <c r="N6" s="241">
        <f>H6/N5</f>
        <v>0</v>
      </c>
      <c r="P6" s="111" t="s">
        <v>586</v>
      </c>
      <c r="Q6" s="239">
        <f>(C4-C5-C5-A5*2)*C5*2</f>
        <v>651.75</v>
      </c>
      <c r="R6" s="239"/>
      <c r="S6" s="239"/>
      <c r="T6" s="239"/>
      <c r="U6" s="239"/>
    </row>
    <row r="7" spans="1:27" ht="23.25" customHeight="1">
      <c r="A7" s="232">
        <f>(C4-C5-C5-A5*2)/C5</f>
        <v>43.090909090909101</v>
      </c>
      <c r="B7" s="231" t="s">
        <v>587</v>
      </c>
      <c r="C7" s="216">
        <v>0</v>
      </c>
      <c r="D7" s="214" t="s">
        <v>588</v>
      </c>
      <c r="E7" s="217">
        <f>C7*1000*1000*E4/C8</f>
        <v>0</v>
      </c>
      <c r="G7" s="215" t="s">
        <v>87</v>
      </c>
      <c r="H7" s="223">
        <f>0.5*C4/C5/(C4-C5)^3</f>
        <v>1.1471158743568901E-5</v>
      </c>
      <c r="I7" s="241"/>
      <c r="J7" s="215" t="s">
        <v>589</v>
      </c>
      <c r="K7" s="214">
        <f>N2*K4</f>
        <v>28057981.875</v>
      </c>
      <c r="L7" s="222" t="s">
        <v>400</v>
      </c>
      <c r="M7" s="242" t="s">
        <v>590</v>
      </c>
      <c r="N7" s="241">
        <f>C6/MIN(K8:K9)</f>
        <v>1.48218181562139</v>
      </c>
      <c r="P7" s="239"/>
      <c r="Q7" s="239"/>
      <c r="R7" s="239"/>
      <c r="S7" s="239"/>
      <c r="T7" s="239"/>
      <c r="Z7" s="114">
        <f>E6/345</f>
        <v>1.24792471469317</v>
      </c>
      <c r="AA7" s="114">
        <f>Z7+Z8+(Z9+Z10)^2</f>
        <v>1.24792471469317</v>
      </c>
    </row>
    <row r="8" spans="1:27" ht="18.95" customHeight="1">
      <c r="A8" s="233">
        <f>(1-(SQRT(310)*A7)*0.000448)*1.42*310</f>
        <v>290.578310072188</v>
      </c>
      <c r="B8" s="219" t="s">
        <v>591</v>
      </c>
      <c r="C8" s="220">
        <f>(C4-C5)^3*C5*0.666</f>
        <v>3773812.30333594</v>
      </c>
      <c r="D8" s="219" t="s">
        <v>592</v>
      </c>
      <c r="E8" s="221">
        <f>E6+E7</f>
        <v>430.53402656914199</v>
      </c>
      <c r="G8" s="215" t="s">
        <v>593</v>
      </c>
      <c r="H8" s="223">
        <f>H6*1000*1000*H7</f>
        <v>0</v>
      </c>
      <c r="I8" s="241" t="s">
        <v>594</v>
      </c>
      <c r="J8" s="215" t="s">
        <v>595</v>
      </c>
      <c r="K8" s="214">
        <f>(IF(K7-(K7-N2*K3)*(3.57*(C4-2*C5-2*A5)/C5*SQRT(N2/200000)-4)&lt;K7,K7-(K7-N2*K3)*(3.57*(C4-2*C5-2*A5)/C5*SQRT(N2/200000)-4),K7))/1000000</f>
        <v>16.867026525702499</v>
      </c>
      <c r="L8" s="222" t="s">
        <v>400</v>
      </c>
      <c r="M8" s="214" t="s">
        <v>596</v>
      </c>
      <c r="N8" s="241">
        <f>C7/MIN(K8:K9)</f>
        <v>0</v>
      </c>
      <c r="P8" s="239"/>
      <c r="Q8" s="239"/>
      <c r="R8" s="239"/>
      <c r="S8" s="239"/>
      <c r="T8" s="239"/>
      <c r="W8" s="114">
        <f>H9/345</f>
        <v>1.24927536231884</v>
      </c>
      <c r="Z8" s="114">
        <f>E7/345</f>
        <v>0</v>
      </c>
    </row>
    <row r="9" spans="1:27" ht="18.95" customHeight="1">
      <c r="D9" s="114" t="s">
        <v>597</v>
      </c>
      <c r="E9" s="114">
        <f>(C4-1*C5)*4*0.00000785*C5*1000</f>
        <v>10.988037500000001</v>
      </c>
      <c r="G9" s="218" t="s">
        <v>598</v>
      </c>
      <c r="H9" s="219">
        <f>ROUND(SQRT(E8^2+3*(H5+H8)^2),0)</f>
        <v>431</v>
      </c>
      <c r="I9" s="243">
        <f>H9/C2</f>
        <v>1.4813655323906001</v>
      </c>
      <c r="J9" s="218" t="s">
        <v>599</v>
      </c>
      <c r="K9" s="219">
        <f>(IF(K7-(K7-N2*K4)*(0.305*(C4-2*C5-2*A5)/C5*SQRT(N2/200000)-0.738)&lt;K7,K7-(K7-N2*K4)*(0.305*(C4-2*C5-2*A5)/C5*SQRT(N2/200000)-0.738),K7))/1000000</f>
        <v>28.057981874999999</v>
      </c>
      <c r="L9" s="222" t="s">
        <v>400</v>
      </c>
      <c r="M9" s="219" t="s">
        <v>600</v>
      </c>
      <c r="N9" s="243">
        <f>N7+N8+(N6+K6)^2</f>
        <v>1.48218181562139</v>
      </c>
      <c r="P9" s="239"/>
      <c r="Q9" s="239"/>
      <c r="R9" s="239"/>
      <c r="S9" s="239"/>
      <c r="T9" s="239"/>
      <c r="Z9" s="114">
        <f>H5/185</f>
        <v>0</v>
      </c>
    </row>
    <row r="10" spans="1:27" ht="18.95" customHeight="1">
      <c r="A10" s="224" t="s">
        <v>558</v>
      </c>
      <c r="B10" s="225" t="s">
        <v>559</v>
      </c>
      <c r="C10" s="225">
        <f>IF(A15&lt;660/SQRT(I10/1.111),I10/1.111,(1-(SQRT((I10/1.111))*A15)*0.000448)*1.42*((I10/1.111)))</f>
        <v>337.30678135870301</v>
      </c>
      <c r="D10" s="225" t="s">
        <v>109</v>
      </c>
      <c r="E10" s="226"/>
      <c r="F10" s="224"/>
      <c r="G10" s="234" t="s">
        <v>560</v>
      </c>
      <c r="H10" s="235" t="s">
        <v>73</v>
      </c>
      <c r="I10" s="244">
        <v>420</v>
      </c>
      <c r="J10" s="415" t="s">
        <v>561</v>
      </c>
      <c r="K10" s="416"/>
      <c r="L10" s="416"/>
      <c r="M10" s="235" t="s">
        <v>73</v>
      </c>
      <c r="N10" s="244">
        <v>420</v>
      </c>
      <c r="P10" s="239"/>
      <c r="Q10" s="239"/>
      <c r="R10" s="239"/>
      <c r="S10" s="239"/>
      <c r="T10" s="239"/>
      <c r="Z10" s="114">
        <f>H8/185</f>
        <v>0</v>
      </c>
    </row>
    <row r="11" spans="1:27" ht="18.95" customHeight="1">
      <c r="A11" s="413" t="s">
        <v>601</v>
      </c>
      <c r="B11" s="413"/>
      <c r="C11" s="414"/>
      <c r="D11" s="212" t="s">
        <v>33</v>
      </c>
      <c r="E11" s="213">
        <v>45</v>
      </c>
      <c r="G11" s="214" t="s">
        <v>563</v>
      </c>
      <c r="H11" s="216">
        <v>8</v>
      </c>
      <c r="I11" s="245" t="s">
        <v>315</v>
      </c>
      <c r="J11" s="215" t="s">
        <v>564</v>
      </c>
      <c r="K11" s="214">
        <f>C16/E12</f>
        <v>73404.846311628498</v>
      </c>
      <c r="L11" s="222" t="s">
        <v>115</v>
      </c>
      <c r="M11" s="214" t="s">
        <v>565</v>
      </c>
      <c r="N11" s="241">
        <f>0.6*N10*0.9</f>
        <v>226.8</v>
      </c>
      <c r="P11" s="111" t="s">
        <v>566</v>
      </c>
      <c r="Q11" s="239">
        <f>(C12-A13-A13)/C13</f>
        <v>44.6666666666667</v>
      </c>
      <c r="R11" s="239"/>
      <c r="S11" s="239">
        <f>1.1*SQRT(Q12*200000/N10)</f>
        <v>53.674504012169301</v>
      </c>
      <c r="T11" s="239" t="s">
        <v>567</v>
      </c>
      <c r="U11" s="239">
        <f>S11/Q11</f>
        <v>1.20166800027245</v>
      </c>
      <c r="W11" s="114" t="s">
        <v>602</v>
      </c>
      <c r="X11" s="114" t="s">
        <v>568</v>
      </c>
    </row>
    <row r="12" spans="1:27" ht="18.95" customHeight="1">
      <c r="A12" s="229" t="s">
        <v>569</v>
      </c>
      <c r="B12" s="214" t="s">
        <v>570</v>
      </c>
      <c r="C12" s="216">
        <v>140</v>
      </c>
      <c r="D12" s="214" t="s">
        <v>571</v>
      </c>
      <c r="E12" s="217">
        <f>0.707*C12*COS(RADIANS(E11))</f>
        <v>69.989429201844501</v>
      </c>
      <c r="G12" s="214" t="s">
        <v>86</v>
      </c>
      <c r="H12" s="223">
        <f>0.563/(C12-C13)/C13</f>
        <v>1.3698296836982999E-3</v>
      </c>
      <c r="I12" s="245"/>
      <c r="J12" s="215" t="s">
        <v>572</v>
      </c>
      <c r="K12" s="214">
        <f>(C12-C13*2)*C13*(C12*0.5-C13*0.5)*2+(C13*C12/2*C12/4*2)*2</f>
        <v>84474</v>
      </c>
      <c r="L12" s="222" t="s">
        <v>115</v>
      </c>
      <c r="M12" s="214" t="s">
        <v>573</v>
      </c>
      <c r="N12" s="241">
        <f>2*(C12-C13)*(C12-C13)*C13-4.5*(4-3.14)*C13^3</f>
        <v>112509.51</v>
      </c>
      <c r="P12" s="111" t="s">
        <v>574</v>
      </c>
      <c r="Q12" s="239">
        <v>5</v>
      </c>
      <c r="R12" s="239"/>
      <c r="S12" s="239">
        <f>1.37*SQRT(Q12*200000/N10)</f>
        <v>66.849154996974505</v>
      </c>
      <c r="T12" s="239" t="s">
        <v>567</v>
      </c>
      <c r="U12" s="239">
        <f>1.51*200000*Q12/N10/Q11/Q11</f>
        <v>1.8020239951627799</v>
      </c>
      <c r="W12" s="114">
        <f>(C12-C13-C13-12)/C13</f>
        <v>40.6666666666667</v>
      </c>
      <c r="X12" s="114">
        <f>SQRT(310)*W12</f>
        <v>716.010552374133</v>
      </c>
      <c r="Y12" s="114">
        <f>(1-X12*0.000448)*1.42*310</f>
        <v>298.995845370518</v>
      </c>
    </row>
    <row r="13" spans="1:27" ht="18.95" customHeight="1">
      <c r="A13" s="230">
        <v>3</v>
      </c>
      <c r="B13" s="214" t="s">
        <v>575</v>
      </c>
      <c r="C13" s="216">
        <v>3</v>
      </c>
      <c r="D13" s="214" t="s">
        <v>576</v>
      </c>
      <c r="E13" s="217">
        <f>0.707*C12*SIN(RADIANS(E11))</f>
        <v>69.989429201844501</v>
      </c>
      <c r="G13" s="214" t="s">
        <v>577</v>
      </c>
      <c r="H13" s="223">
        <f>H11*H12*1000</f>
        <v>10.9586374695864</v>
      </c>
      <c r="I13" s="245"/>
      <c r="J13" s="215" t="s">
        <v>578</v>
      </c>
      <c r="K13" s="214">
        <f>0.6*N10*Q14*Q13/1000</f>
        <v>193.536</v>
      </c>
      <c r="L13" s="222" t="s">
        <v>315</v>
      </c>
      <c r="M13" s="214" t="s">
        <v>579</v>
      </c>
      <c r="N13" s="241">
        <f>N12*N11/1000000</f>
        <v>25.517156868000001</v>
      </c>
      <c r="P13" s="111" t="s">
        <v>580</v>
      </c>
      <c r="Q13" s="239">
        <f>IF(Q11&lt;S11,1,IF(Q11&gt;S12,U12,U11))</f>
        <v>1</v>
      </c>
      <c r="R13" s="239"/>
      <c r="S13" s="239"/>
      <c r="T13" s="239"/>
      <c r="U13" s="239"/>
    </row>
    <row r="14" spans="1:27" ht="18.95" customHeight="1">
      <c r="A14" s="229" t="s">
        <v>89</v>
      </c>
      <c r="B14" s="214" t="s">
        <v>581</v>
      </c>
      <c r="C14" s="216">
        <v>11.8</v>
      </c>
      <c r="D14" s="214" t="s">
        <v>582</v>
      </c>
      <c r="E14" s="217">
        <f>C14*1000*1000*E13/C16</f>
        <v>160.75232893895</v>
      </c>
      <c r="G14" s="214" t="s">
        <v>583</v>
      </c>
      <c r="H14" s="216">
        <v>17</v>
      </c>
      <c r="I14" s="245" t="s">
        <v>400</v>
      </c>
      <c r="J14" s="215" t="s">
        <v>584</v>
      </c>
      <c r="K14" s="214">
        <f>H11/K13</f>
        <v>4.1335978835978802E-2</v>
      </c>
      <c r="L14" s="222"/>
      <c r="M14" s="214" t="s">
        <v>585</v>
      </c>
      <c r="N14" s="241">
        <f>H14/N13</f>
        <v>0.66621842268481701</v>
      </c>
      <c r="P14" s="111" t="s">
        <v>586</v>
      </c>
      <c r="Q14" s="239">
        <f>(C12-C13-C13-A13*2)*C13*2</f>
        <v>768</v>
      </c>
      <c r="R14" s="239"/>
      <c r="S14" s="239"/>
      <c r="T14" s="239"/>
      <c r="U14" s="239"/>
    </row>
    <row r="15" spans="1:27" ht="18.95" customHeight="1">
      <c r="A15" s="232">
        <f>(C12-C13-C13-A13*2)/C13</f>
        <v>42.6666666666667</v>
      </c>
      <c r="B15" s="214" t="s">
        <v>587</v>
      </c>
      <c r="C15" s="216">
        <v>0.54</v>
      </c>
      <c r="D15" s="214" t="s">
        <v>588</v>
      </c>
      <c r="E15" s="217">
        <f>C15*1000*1000*E12/C16</f>
        <v>7.3564625107655202</v>
      </c>
      <c r="G15" s="214" t="s">
        <v>87</v>
      </c>
      <c r="H15" s="223">
        <f>0.5*C12/C13/(C12-C13)^3</f>
        <v>9.0743407588663804E-6</v>
      </c>
      <c r="I15" s="246"/>
      <c r="J15" s="215" t="s">
        <v>589</v>
      </c>
      <c r="K15" s="214">
        <f>N10*K12</f>
        <v>35479080</v>
      </c>
      <c r="L15" s="222" t="s">
        <v>400</v>
      </c>
      <c r="M15" s="242" t="s">
        <v>590</v>
      </c>
      <c r="N15" s="241">
        <f>C14/MIN(K16:K17)</f>
        <v>0.54568761014656098</v>
      </c>
      <c r="P15" s="239"/>
      <c r="Q15" s="239"/>
      <c r="R15" s="239"/>
      <c r="S15" s="239"/>
      <c r="T15" s="239"/>
    </row>
    <row r="16" spans="1:27" ht="18.95" customHeight="1">
      <c r="A16" s="233">
        <f>(1-(SQRT(310)*A15)*0.000448)*1.42*310</f>
        <v>292.05137874939601</v>
      </c>
      <c r="B16" s="219" t="s">
        <v>591</v>
      </c>
      <c r="C16" s="220">
        <f>(C12-C13)^3*C13*0.666</f>
        <v>5137563.2939999998</v>
      </c>
      <c r="D16" s="219" t="s">
        <v>592</v>
      </c>
      <c r="E16" s="221">
        <f>E14+E15</f>
        <v>168.10879144971599</v>
      </c>
      <c r="G16" s="214" t="s">
        <v>593</v>
      </c>
      <c r="H16" s="223">
        <f>H14*1000*1000*H15</f>
        <v>154.26379290072799</v>
      </c>
      <c r="I16" s="241" t="s">
        <v>594</v>
      </c>
      <c r="J16" s="215" t="s">
        <v>595</v>
      </c>
      <c r="K16" s="214">
        <f>(IF(K15-(K15-N10*K11)*(3.57*(C12-2*C13-2*A13)/C13*SQRT(N10/200000)-4)&lt;K15,K15-(K15-N10*K11)*(3.57*(C12-2*C13-2*A13)/C13*SQRT(N10/200000)-4),K15))/1000000</f>
        <v>21.6240936766564</v>
      </c>
      <c r="L16" s="222" t="s">
        <v>400</v>
      </c>
      <c r="M16" s="214" t="s">
        <v>596</v>
      </c>
      <c r="N16" s="241">
        <f>C15/MIN(K16:K17)</f>
        <v>2.4972144871113801E-2</v>
      </c>
      <c r="P16" s="239"/>
      <c r="Q16" s="239"/>
      <c r="R16" s="239"/>
      <c r="S16" s="239"/>
      <c r="T16" s="239"/>
      <c r="W16" s="114">
        <f>H17/310</f>
        <v>1.0709677419354799</v>
      </c>
      <c r="Z16" s="114">
        <f>H16/185</f>
        <v>0.83385834000393699</v>
      </c>
    </row>
    <row r="17" spans="1:27" ht="18.95" customHeight="1">
      <c r="D17" s="114" t="s">
        <v>597</v>
      </c>
      <c r="E17" s="114">
        <f>(C12-1*C13)*4*0.00000785*C13*1000</f>
        <v>12.9054</v>
      </c>
      <c r="G17" s="214" t="s">
        <v>598</v>
      </c>
      <c r="H17" s="214">
        <f>ROUND(SQRT(E16^2+3*(H13+H16)^2),0)</f>
        <v>332</v>
      </c>
      <c r="I17" s="243">
        <f>H17/C10</f>
        <v>0.98426719635660098</v>
      </c>
      <c r="J17" s="218" t="s">
        <v>599</v>
      </c>
      <c r="K17" s="219">
        <f>(IF(K15-(K15-345*K12)*(0.305*(C12-2*C13-2*A13)/C13*SQRT(N10/200000)-0.738)&lt;K15,K15-(K15-345*K12)*(0.305*(C12-2*C13-2*A13)/C13*SQRT(N10/200000)-0.738),K15))/1000000</f>
        <v>35.479080000000003</v>
      </c>
      <c r="L17" s="222" t="s">
        <v>400</v>
      </c>
      <c r="M17" s="219" t="s">
        <v>600</v>
      </c>
      <c r="N17" s="243">
        <f>N15+N16+(N14+K14)^2</f>
        <v>1.07129298612913</v>
      </c>
      <c r="P17" s="239"/>
      <c r="Q17" s="239"/>
      <c r="R17" s="239"/>
      <c r="S17" s="239"/>
      <c r="T17" s="239"/>
    </row>
    <row r="18" spans="1:27" ht="18.95" customHeight="1">
      <c r="A18" s="224" t="s">
        <v>558</v>
      </c>
      <c r="B18" s="225" t="s">
        <v>559</v>
      </c>
      <c r="C18" s="225">
        <f>IF(A23&lt;660/SQRT(I18/1.111),I18/1.111,(1-(SQRT((I18/1.111))*A23)*0.000448)*1.42*((I18/1.111)))</f>
        <v>338.34587979625201</v>
      </c>
      <c r="D18" s="225" t="s">
        <v>109</v>
      </c>
      <c r="E18" s="226"/>
      <c r="F18" s="224"/>
      <c r="G18" s="234" t="s">
        <v>560</v>
      </c>
      <c r="H18" s="235" t="s">
        <v>73</v>
      </c>
      <c r="I18" s="244">
        <v>420</v>
      </c>
      <c r="J18" s="415" t="s">
        <v>561</v>
      </c>
      <c r="K18" s="416"/>
      <c r="L18" s="416"/>
      <c r="M18" s="235" t="s">
        <v>73</v>
      </c>
      <c r="N18" s="244">
        <v>420</v>
      </c>
      <c r="P18" s="239"/>
      <c r="Q18"/>
      <c r="R18" s="239"/>
      <c r="S18" s="239"/>
      <c r="T18"/>
    </row>
    <row r="19" spans="1:27" ht="18.95" customHeight="1">
      <c r="A19" s="417" t="s">
        <v>603</v>
      </c>
      <c r="B19" s="413"/>
      <c r="C19" s="414"/>
      <c r="D19" s="212" t="s">
        <v>33</v>
      </c>
      <c r="E19" s="213">
        <v>45</v>
      </c>
      <c r="G19" s="214" t="s">
        <v>563</v>
      </c>
      <c r="H19" s="216">
        <v>8</v>
      </c>
      <c r="I19" s="245" t="s">
        <v>315</v>
      </c>
      <c r="J19" s="215" t="s">
        <v>564</v>
      </c>
      <c r="K19" s="214">
        <f>C24/E20</f>
        <v>40780.6207953704</v>
      </c>
      <c r="L19" s="222" t="s">
        <v>115</v>
      </c>
      <c r="M19" s="214" t="s">
        <v>565</v>
      </c>
      <c r="N19" s="241">
        <f>0.6*N18*0.9</f>
        <v>226.8</v>
      </c>
      <c r="P19" s="111" t="s">
        <v>566</v>
      </c>
      <c r="Q19" s="239">
        <f>(C20-A21-A21)/C21</f>
        <v>44.4444444444444</v>
      </c>
      <c r="R19" s="239"/>
      <c r="S19" s="239">
        <f>1.1*SQRT(Q20*200000/N18)</f>
        <v>53.674504012169301</v>
      </c>
      <c r="T19" s="239" t="s">
        <v>567</v>
      </c>
      <c r="U19" s="239">
        <f>S19/Q19</f>
        <v>1.20767634027381</v>
      </c>
      <c r="W19" s="114" t="s">
        <v>602</v>
      </c>
      <c r="X19" s="114" t="s">
        <v>568</v>
      </c>
    </row>
    <row r="20" spans="1:27" ht="18.95" customHeight="1">
      <c r="A20" s="215" t="s">
        <v>569</v>
      </c>
      <c r="B20" s="214" t="s">
        <v>570</v>
      </c>
      <c r="C20" s="216">
        <v>120</v>
      </c>
      <c r="D20" s="214" t="s">
        <v>571</v>
      </c>
      <c r="E20" s="217">
        <f>0.707*C20*COS(RADIANS(E19))</f>
        <v>59.990939315866697</v>
      </c>
      <c r="G20" s="214" t="s">
        <v>86</v>
      </c>
      <c r="H20" s="223">
        <f>0.563/(C20-C21)/C21</f>
        <v>2.1250294880868102E-3</v>
      </c>
      <c r="I20" s="245"/>
      <c r="J20" s="215" t="s">
        <v>572</v>
      </c>
      <c r="K20" s="214">
        <f>(C20-C21*2)*C21*(C20*0.5-C21*0.5)*2+(C21*C20/2*C20/4*2)*2</f>
        <v>46800.28125</v>
      </c>
      <c r="L20" s="222" t="s">
        <v>115</v>
      </c>
      <c r="M20" s="214" t="s">
        <v>573</v>
      </c>
      <c r="N20" s="241">
        <f>2*(C20-C21)*(C20-C21)*C21-4.5*(4-3.14)*C21^3</f>
        <v>62348.69953125</v>
      </c>
      <c r="P20" s="111" t="s">
        <v>574</v>
      </c>
      <c r="Q20" s="239">
        <v>5</v>
      </c>
      <c r="R20" s="239"/>
      <c r="S20" s="239">
        <f>1.37*SQRT(Q20*200000/N18)</f>
        <v>66.849154996974505</v>
      </c>
      <c r="T20" s="239" t="s">
        <v>567</v>
      </c>
      <c r="U20" s="239">
        <f>1.51*200000*Q20/N18/Q19/Q19</f>
        <v>1.8200892857142901</v>
      </c>
      <c r="W20" s="114">
        <f>(C20-C21-C21-12)/C21</f>
        <v>46</v>
      </c>
      <c r="X20" s="114">
        <f>SQRT(310)*W20</f>
        <v>809.91357563631402</v>
      </c>
      <c r="Y20" s="114">
        <f>(1-X20*0.000448)*1.42*310</f>
        <v>280.47726771419298</v>
      </c>
    </row>
    <row r="21" spans="1:27" ht="18.95" customHeight="1">
      <c r="A21" s="236">
        <v>10</v>
      </c>
      <c r="B21" s="214" t="s">
        <v>575</v>
      </c>
      <c r="C21" s="216">
        <v>2.25</v>
      </c>
      <c r="D21" s="214" t="s">
        <v>576</v>
      </c>
      <c r="E21" s="217">
        <f>0.707*C20*SIN(RADIANS(E19))</f>
        <v>59.990939315866697</v>
      </c>
      <c r="G21" s="214" t="s">
        <v>577</v>
      </c>
      <c r="H21" s="223">
        <f>H19*H20*1000</f>
        <v>17.000235904694499</v>
      </c>
      <c r="I21" s="245"/>
      <c r="J21" s="215" t="s">
        <v>578</v>
      </c>
      <c r="K21" s="214">
        <f>0.6*N18*Q22*Q21/1000</f>
        <v>108.297</v>
      </c>
      <c r="L21" s="222" t="s">
        <v>315</v>
      </c>
      <c r="M21" s="214" t="s">
        <v>579</v>
      </c>
      <c r="N21" s="241">
        <f>N20*N19/1000000</f>
        <v>14.1406850536875</v>
      </c>
      <c r="P21" s="111" t="s">
        <v>580</v>
      </c>
      <c r="Q21" s="239">
        <f>IF(Q19&lt;S19,1,IF(Q19&gt;S20,U20,U19))</f>
        <v>1</v>
      </c>
      <c r="R21" s="239"/>
      <c r="S21" s="239"/>
      <c r="T21" s="239"/>
      <c r="U21" s="239"/>
    </row>
    <row r="22" spans="1:27" ht="18.95" customHeight="1">
      <c r="A22" s="215" t="s">
        <v>89</v>
      </c>
      <c r="B22" s="214" t="s">
        <v>581</v>
      </c>
      <c r="C22" s="216">
        <v>12</v>
      </c>
      <c r="D22" s="214" t="s">
        <v>582</v>
      </c>
      <c r="E22" s="217">
        <f>C22*1000*1000*E21/C24</f>
        <v>294.25741359391702</v>
      </c>
      <c r="G22" s="214" t="s">
        <v>583</v>
      </c>
      <c r="H22" s="216">
        <v>17</v>
      </c>
      <c r="I22" s="245" t="s">
        <v>400</v>
      </c>
      <c r="J22" s="215" t="s">
        <v>584</v>
      </c>
      <c r="K22" s="214">
        <f>H19/K21</f>
        <v>7.38709290192711E-2</v>
      </c>
      <c r="L22" s="222"/>
      <c r="M22" s="214" t="s">
        <v>585</v>
      </c>
      <c r="N22" s="241">
        <f>H22/N21</f>
        <v>1.2022048391189399</v>
      </c>
      <c r="P22" s="111" t="s">
        <v>586</v>
      </c>
      <c r="Q22" s="239">
        <f>(C20-C21-C21-A21*2)*C21*2</f>
        <v>429.75</v>
      </c>
      <c r="R22" s="239"/>
      <c r="S22" s="239"/>
      <c r="T22" s="239"/>
      <c r="U22" s="239"/>
    </row>
    <row r="23" spans="1:27" ht="18.95" customHeight="1">
      <c r="A23" s="237">
        <f>(C20-C21-C21-A21*2)/C21</f>
        <v>42.4444444444444</v>
      </c>
      <c r="B23" s="214" t="s">
        <v>587</v>
      </c>
      <c r="C23" s="216">
        <v>1</v>
      </c>
      <c r="D23" s="214" t="s">
        <v>588</v>
      </c>
      <c r="E23" s="217">
        <f>C23*1000*1000*E20/C24</f>
        <v>24.5214511328264</v>
      </c>
      <c r="G23" s="214" t="s">
        <v>87</v>
      </c>
      <c r="H23" s="223">
        <f>0.5*C20/C21/(C20-C21)^3</f>
        <v>1.6333753037412101E-5</v>
      </c>
      <c r="I23" s="246"/>
      <c r="J23" s="215" t="s">
        <v>589</v>
      </c>
      <c r="K23" s="214">
        <f>N18*K20</f>
        <v>19656118.125</v>
      </c>
      <c r="L23" s="222" t="s">
        <v>400</v>
      </c>
      <c r="M23" s="242" t="s">
        <v>590</v>
      </c>
      <c r="N23" s="241">
        <f>C22/MIN(K24:K25)</f>
        <v>0.98252957299556598</v>
      </c>
      <c r="P23" s="239"/>
      <c r="Q23" s="239"/>
      <c r="R23" s="239"/>
      <c r="S23" s="239"/>
      <c r="T23" s="239"/>
    </row>
    <row r="24" spans="1:27" ht="18.95" customHeight="1">
      <c r="A24" s="218">
        <f>(1-(SQRT(310)*A23)*0.000448)*1.42*310</f>
        <v>292.82298615174301</v>
      </c>
      <c r="B24" s="219" t="s">
        <v>591</v>
      </c>
      <c r="C24" s="220">
        <f>(C20-C21)^3*C21*0.666</f>
        <v>2446467.7473984398</v>
      </c>
      <c r="D24" s="219" t="s">
        <v>592</v>
      </c>
      <c r="E24" s="221">
        <f>E22+E23</f>
        <v>318.778864726743</v>
      </c>
      <c r="G24" s="214" t="s">
        <v>593</v>
      </c>
      <c r="H24" s="223">
        <f>H22*1000*1000*H23</f>
        <v>277.67380163600598</v>
      </c>
      <c r="I24" s="241" t="s">
        <v>594</v>
      </c>
      <c r="J24" s="215" t="s">
        <v>595</v>
      </c>
      <c r="K24" s="214">
        <f>(IF(K23-(K23-N18*K19)*(3.57*(C20-2*C21-2*A21)/C21*SQRT(N18/200000)-4)&lt;K23,K23-(K23-N18*K19)*(3.57*(C20-2*C21-2*A21)/C21*SQRT(N18/200000)-4),K23))/1000000</f>
        <v>12.213372838655699</v>
      </c>
      <c r="L24" s="222" t="s">
        <v>400</v>
      </c>
      <c r="M24" s="214" t="s">
        <v>596</v>
      </c>
      <c r="N24" s="241">
        <f>C23/MIN(K24:K25)</f>
        <v>8.1877464416297202E-2</v>
      </c>
      <c r="P24" s="239"/>
      <c r="Q24" s="239"/>
      <c r="R24" s="239"/>
      <c r="S24" s="239"/>
      <c r="T24" s="239"/>
    </row>
    <row r="25" spans="1:27" ht="18.95" customHeight="1">
      <c r="D25" s="114" t="s">
        <v>597</v>
      </c>
      <c r="E25" s="114">
        <f>(C20-1*C21)*4*0.00000785*C21*1000</f>
        <v>8.3190375000000003</v>
      </c>
      <c r="G25" s="214" t="s">
        <v>598</v>
      </c>
      <c r="H25" s="214">
        <f>ROUND(SQRT(E24^2+3*(H21+H24)^2),0)</f>
        <v>602</v>
      </c>
      <c r="I25" s="243">
        <f>H25/C18</f>
        <v>1.7792443648567999</v>
      </c>
      <c r="J25" s="218" t="s">
        <v>599</v>
      </c>
      <c r="K25" s="219">
        <f>(IF(K23-(K23-345*K20)*(0.305*(C20-2*C21-2*A21)/C21*SQRT(N18/200000)-0.738)&lt;K23,K23-(K23-345*K20)*(0.305*(C20-2*C21-2*A21)/C21*SQRT(N18/200000)-0.738),K23))/1000000</f>
        <v>19.656118124999999</v>
      </c>
      <c r="L25" s="222" t="s">
        <v>400</v>
      </c>
      <c r="M25" s="219" t="s">
        <v>600</v>
      </c>
      <c r="N25" s="243">
        <f>N23+N24+(N22+K22)^2</f>
        <v>2.6927764034413899</v>
      </c>
      <c r="P25" s="239"/>
      <c r="Q25" s="239"/>
      <c r="R25" s="239"/>
      <c r="S25" s="239"/>
      <c r="T25" s="239"/>
    </row>
    <row r="26" spans="1:27" ht="25.5" customHeight="1">
      <c r="A26" s="224" t="s">
        <v>558</v>
      </c>
      <c r="B26" s="225" t="s">
        <v>559</v>
      </c>
      <c r="C26" s="225">
        <f>IF(A31&lt;660/SQRT(I26/1.111),I26/1.111,(1-(SQRT((I26/1.111))*A31)*0.000448)*1.42*((I26/1.111)))</f>
        <v>341.40311385496801</v>
      </c>
      <c r="D26" s="225" t="s">
        <v>109</v>
      </c>
      <c r="E26" s="226"/>
      <c r="F26" s="224"/>
      <c r="G26" s="227" t="s">
        <v>560</v>
      </c>
      <c r="H26" s="228" t="s">
        <v>73</v>
      </c>
      <c r="I26" s="244">
        <v>550</v>
      </c>
      <c r="J26" s="411" t="s">
        <v>561</v>
      </c>
      <c r="K26" s="412"/>
      <c r="L26" s="412"/>
      <c r="M26" s="228" t="s">
        <v>73</v>
      </c>
      <c r="N26" s="238">
        <v>420</v>
      </c>
      <c r="P26" s="239"/>
      <c r="Q26" s="239"/>
      <c r="R26" s="239"/>
      <c r="S26" s="239"/>
      <c r="T26" s="239"/>
      <c r="U26" s="224"/>
    </row>
    <row r="27" spans="1:27" ht="18.95" customHeight="1">
      <c r="A27" s="417" t="s">
        <v>562</v>
      </c>
      <c r="B27" s="413"/>
      <c r="C27" s="414"/>
      <c r="D27" s="212" t="s">
        <v>33</v>
      </c>
      <c r="E27" s="213">
        <v>45</v>
      </c>
      <c r="G27" s="215" t="s">
        <v>563</v>
      </c>
      <c r="H27" s="216">
        <v>8</v>
      </c>
      <c r="I27" s="240" t="s">
        <v>315</v>
      </c>
      <c r="J27" s="215" t="s">
        <v>564</v>
      </c>
      <c r="K27" s="214">
        <f>C32/E28</f>
        <v>61842.904831990403</v>
      </c>
      <c r="L27" s="222" t="s">
        <v>115</v>
      </c>
      <c r="M27" s="214" t="s">
        <v>565</v>
      </c>
      <c r="N27" s="241">
        <f>0.6*N26*0.9</f>
        <v>226.8</v>
      </c>
      <c r="P27" s="111" t="s">
        <v>566</v>
      </c>
      <c r="Q27" s="239">
        <f>(C28-A29-A29)/C29</f>
        <v>53.6</v>
      </c>
      <c r="R27" s="239"/>
      <c r="S27" s="239">
        <f>1.1*SQRT(Q28*200000/N26)</f>
        <v>53.674504012169301</v>
      </c>
      <c r="T27" s="239" t="s">
        <v>567</v>
      </c>
      <c r="U27" s="239">
        <f>S27/Q27</f>
        <v>1.0013900002270399</v>
      </c>
      <c r="X27" s="114" t="s">
        <v>568</v>
      </c>
    </row>
    <row r="28" spans="1:27" ht="18.95" customHeight="1">
      <c r="A28" s="215" t="s">
        <v>569</v>
      </c>
      <c r="B28" s="214" t="s">
        <v>570</v>
      </c>
      <c r="C28" s="216">
        <v>140</v>
      </c>
      <c r="D28" s="214" t="s">
        <v>571</v>
      </c>
      <c r="E28" s="217">
        <f>0.707*C28*COS(RADIANS(E27))</f>
        <v>69.989429201844501</v>
      </c>
      <c r="G28" s="215" t="s">
        <v>86</v>
      </c>
      <c r="H28" s="223">
        <f>0.563/(C28-C29)/C29</f>
        <v>1.63781818181818E-3</v>
      </c>
      <c r="I28" s="240"/>
      <c r="J28" s="215" t="s">
        <v>572</v>
      </c>
      <c r="K28" s="214">
        <f>(C28-C29*2)*C29*(C28*0.5-C29*0.5)*2+(C29*C28/2*C28/4*2)*2</f>
        <v>70906.25</v>
      </c>
      <c r="L28" s="222" t="s">
        <v>115</v>
      </c>
      <c r="M28" s="214" t="s">
        <v>573</v>
      </c>
      <c r="N28" s="241">
        <f>2*(C28-C29)*(C28-C29)*C29-4.5*(4-3.14)*C29^3</f>
        <v>94470.78125</v>
      </c>
      <c r="P28" s="111" t="s">
        <v>574</v>
      </c>
      <c r="Q28" s="239">
        <v>5</v>
      </c>
      <c r="R28" s="239"/>
      <c r="S28" s="239">
        <f>1.37*SQRT(Q28*200000/N26)</f>
        <v>66.849154996974505</v>
      </c>
      <c r="T28" s="239" t="s">
        <v>567</v>
      </c>
      <c r="U28" s="239">
        <f>1.51*200000*Q28/N26/Q27/Q27</f>
        <v>1.2514055521963701</v>
      </c>
      <c r="W28" s="114">
        <f>(C28-C29-C29-12)/C29</f>
        <v>49.2</v>
      </c>
      <c r="X28" s="114">
        <f>SQRT(310)*W28</f>
        <v>866.25538959362302</v>
      </c>
      <c r="Y28" s="114">
        <f>(1-(SQRT(310)*W28)*0.000448)*1.42*310</f>
        <v>269.366121120397</v>
      </c>
    </row>
    <row r="29" spans="1:27" ht="18.95" customHeight="1">
      <c r="A29" s="236">
        <v>3</v>
      </c>
      <c r="B29" s="214" t="s">
        <v>575</v>
      </c>
      <c r="C29" s="216">
        <v>2.5</v>
      </c>
      <c r="D29" s="214" t="s">
        <v>576</v>
      </c>
      <c r="E29" s="217">
        <f>0.707*C28*SIN(RADIANS(E27))</f>
        <v>69.989429201844501</v>
      </c>
      <c r="G29" s="215" t="s">
        <v>577</v>
      </c>
      <c r="H29" s="223">
        <f>H27*H28*1000</f>
        <v>13.102545454545499</v>
      </c>
      <c r="I29" s="240"/>
      <c r="J29" s="215" t="s">
        <v>578</v>
      </c>
      <c r="K29" s="214">
        <f>0.6*N26*Q30*Q29/1000</f>
        <v>162.54</v>
      </c>
      <c r="L29" s="222" t="s">
        <v>315</v>
      </c>
      <c r="M29" s="214" t="s">
        <v>579</v>
      </c>
      <c r="N29" s="241">
        <f>N28*N27/1000000</f>
        <v>21.425973187499999</v>
      </c>
      <c r="P29" s="111" t="s">
        <v>580</v>
      </c>
      <c r="Q29" s="239">
        <f>IF(Q27&lt;S27,1,IF(Q27&gt;S28,U28,U27))</f>
        <v>1</v>
      </c>
      <c r="R29" s="239"/>
      <c r="S29" s="239"/>
      <c r="T29" s="239"/>
      <c r="U29" s="239"/>
    </row>
    <row r="30" spans="1:27" ht="18.95" customHeight="1">
      <c r="A30" s="215" t="s">
        <v>89</v>
      </c>
      <c r="B30" s="214" t="s">
        <v>581</v>
      </c>
      <c r="C30" s="216">
        <v>12</v>
      </c>
      <c r="D30" s="214" t="s">
        <v>582</v>
      </c>
      <c r="E30" s="217">
        <f>C30*1000*1000*E29/C32</f>
        <v>194.040044409307</v>
      </c>
      <c r="G30" s="214" t="s">
        <v>583</v>
      </c>
      <c r="H30" s="216">
        <v>17</v>
      </c>
      <c r="I30" s="245" t="s">
        <v>400</v>
      </c>
      <c r="J30" s="215" t="s">
        <v>584</v>
      </c>
      <c r="K30" s="214">
        <f>H27/K29</f>
        <v>4.9218653869816699E-2</v>
      </c>
      <c r="L30" s="222"/>
      <c r="M30" s="214" t="s">
        <v>585</v>
      </c>
      <c r="N30" s="241">
        <f>H30/N29</f>
        <v>0.79342953765656099</v>
      </c>
      <c r="P30" s="111" t="s">
        <v>586</v>
      </c>
      <c r="Q30" s="239">
        <f>(C28-C29-C29-A29*2)*C29*2</f>
        <v>645</v>
      </c>
      <c r="R30" s="239"/>
      <c r="S30" s="239"/>
      <c r="T30" s="239"/>
      <c r="U30" s="239"/>
    </row>
    <row r="31" spans="1:27" ht="23.25" customHeight="1">
      <c r="A31" s="237">
        <f>(C28-C29-C29-A29*2)/C29</f>
        <v>51.6</v>
      </c>
      <c r="B31" s="231" t="s">
        <v>587</v>
      </c>
      <c r="C31" s="216">
        <v>1</v>
      </c>
      <c r="D31" s="214" t="s">
        <v>588</v>
      </c>
      <c r="E31" s="217">
        <f>C31*1000*1000*E28/C32</f>
        <v>16.170003700775599</v>
      </c>
      <c r="G31" s="215" t="s">
        <v>87</v>
      </c>
      <c r="H31" s="223">
        <f>0.5*C28/C29/(C28-C29)^3</f>
        <v>1.0770848985725E-5</v>
      </c>
      <c r="I31" s="241"/>
      <c r="J31" s="215" t="s">
        <v>589</v>
      </c>
      <c r="K31" s="214">
        <f>N26*K28</f>
        <v>29780625</v>
      </c>
      <c r="L31" s="222" t="s">
        <v>400</v>
      </c>
      <c r="M31" s="242" t="s">
        <v>590</v>
      </c>
      <c r="N31" s="241">
        <f>C30/MIN(K32:K33)</f>
        <v>0.93218353047705804</v>
      </c>
      <c r="Z31" s="114">
        <f>E30/345</f>
        <v>0.56243491133132595</v>
      </c>
      <c r="AA31" s="114">
        <f>Z31+Z32+(Z33+Z34)^2</f>
        <v>1.73413073414291</v>
      </c>
    </row>
    <row r="32" spans="1:27" ht="18.95" customHeight="1">
      <c r="A32" s="218">
        <f>(1-(SQRT(310)*A31)*0.000448)*1.42*310</f>
        <v>261.03276117505101</v>
      </c>
      <c r="B32" s="219" t="s">
        <v>591</v>
      </c>
      <c r="C32" s="220">
        <f>(C28-C29)^3*C29*0.666</f>
        <v>4328349.609375</v>
      </c>
      <c r="D32" s="219" t="s">
        <v>592</v>
      </c>
      <c r="E32" s="221">
        <f>E30+E31</f>
        <v>210.21004811008299</v>
      </c>
      <c r="G32" s="215" t="s">
        <v>593</v>
      </c>
      <c r="H32" s="223">
        <f>H30*1000*1000*H31</f>
        <v>183.10443275732499</v>
      </c>
      <c r="I32" s="241" t="s">
        <v>594</v>
      </c>
      <c r="J32" s="215" t="s">
        <v>595</v>
      </c>
      <c r="K32" s="214">
        <f>(IF(K31-(K31-N26*K27)*(3.57*(C28-2*C29-2*A29)/C29*SQRT(N26/200000)-4)&lt;K31,K31-(K31-N26*K27)*(3.57*(C28-2*C29-2*A29)/C29*SQRT(N26/200000)-4),K31))/1000000</f>
        <v>12.873001514904299</v>
      </c>
      <c r="L32" s="222" t="s">
        <v>400</v>
      </c>
      <c r="M32" s="214" t="s">
        <v>596</v>
      </c>
      <c r="N32" s="241">
        <f>C31/MIN(K32:K33)</f>
        <v>7.7681960873088193E-2</v>
      </c>
      <c r="W32" s="114">
        <f>H33/345</f>
        <v>1.1594202898550701</v>
      </c>
      <c r="Z32" s="114">
        <f>E31/345</f>
        <v>4.6869575944277202E-2</v>
      </c>
    </row>
    <row r="33" spans="1:26" ht="18.95" customHeight="1">
      <c r="D33" s="114" t="s">
        <v>597</v>
      </c>
      <c r="E33" s="114">
        <f>(C28-1*C29)*4*0.00000785*C29*1000</f>
        <v>10.793749999999999</v>
      </c>
      <c r="G33" s="218" t="s">
        <v>598</v>
      </c>
      <c r="H33" s="219">
        <f>ROUND(SQRT(E32^2+3*(H29+H32)^2),0)</f>
        <v>400</v>
      </c>
      <c r="I33" s="243">
        <f>H33/C26</f>
        <v>1.17163547655844</v>
      </c>
      <c r="J33" s="218" t="s">
        <v>599</v>
      </c>
      <c r="K33" s="219">
        <f>(IF(K31-(K31-N26*K28)*(0.305*(C28-2*C29-2*A29)/C29*SQRT(N26/200000)-0.738)&lt;K31,K31-(K31-N26*K28)*(0.305*(C28-2*C29-2*A29)/C29*SQRT(N26/200000)-0.738),K31))/1000000</f>
        <v>29.780625000000001</v>
      </c>
      <c r="L33" s="222" t="s">
        <v>400</v>
      </c>
      <c r="M33" s="219" t="s">
        <v>600</v>
      </c>
      <c r="N33" s="243">
        <f>N31+N32+(N30+K30)^2</f>
        <v>1.7199214660328199</v>
      </c>
      <c r="Z33" s="114">
        <f>H29/185</f>
        <v>7.0824570024570002E-2</v>
      </c>
    </row>
    <row r="34" spans="1:26" ht="18.95" customHeight="1">
      <c r="A34" s="224" t="s">
        <v>558</v>
      </c>
      <c r="B34" s="225" t="s">
        <v>559</v>
      </c>
      <c r="C34" s="225">
        <f>IF(A39&lt;660/SQRT(I34/1.111),I34/1.111,(1-(SQRT((I34/1.111))*A39)*0.000448)*1.42*((I34/1.111)))</f>
        <v>396.36372518225301</v>
      </c>
      <c r="D34" s="225" t="s">
        <v>109</v>
      </c>
      <c r="E34" s="226"/>
      <c r="F34" s="224"/>
      <c r="G34" s="234" t="s">
        <v>560</v>
      </c>
      <c r="H34" s="235" t="s">
        <v>73</v>
      </c>
      <c r="I34" s="244">
        <v>550</v>
      </c>
      <c r="J34" s="415" t="s">
        <v>561</v>
      </c>
      <c r="K34" s="416"/>
      <c r="L34" s="416"/>
      <c r="M34" s="235" t="s">
        <v>73</v>
      </c>
      <c r="N34" s="244">
        <v>420</v>
      </c>
      <c r="Z34" s="114">
        <f>H32/185</f>
        <v>0.98975369058013696</v>
      </c>
    </row>
    <row r="35" spans="1:26" ht="18.95" customHeight="1">
      <c r="A35" s="417" t="s">
        <v>601</v>
      </c>
      <c r="B35" s="413"/>
      <c r="C35" s="414"/>
      <c r="D35" s="212" t="s">
        <v>33</v>
      </c>
      <c r="E35" s="213">
        <v>45</v>
      </c>
      <c r="G35" s="214" t="s">
        <v>563</v>
      </c>
      <c r="H35" s="216">
        <v>8</v>
      </c>
      <c r="I35" s="245" t="s">
        <v>315</v>
      </c>
      <c r="J35" s="215" t="s">
        <v>564</v>
      </c>
      <c r="K35" s="214">
        <f>C40/E36</f>
        <v>57276.782178593698</v>
      </c>
      <c r="L35" s="222" t="s">
        <v>115</v>
      </c>
      <c r="M35" s="214" t="s">
        <v>565</v>
      </c>
      <c r="N35" s="241">
        <f>0.6*N34*0.9</f>
        <v>226.8</v>
      </c>
      <c r="P35" s="111" t="s">
        <v>566</v>
      </c>
      <c r="Q35" s="239">
        <f>(C36-A37-A37)/C37</f>
        <v>45.756457564575598</v>
      </c>
      <c r="R35" s="239"/>
      <c r="S35" s="239">
        <f>1.1*SQRT(Q36*200000/N34)</f>
        <v>53.674504012169301</v>
      </c>
      <c r="T35" s="239" t="s">
        <v>567</v>
      </c>
      <c r="U35" s="239">
        <f>S35/Q35</f>
        <v>1.1730476280078901</v>
      </c>
      <c r="W35" s="114" t="s">
        <v>602</v>
      </c>
      <c r="X35" s="114" t="s">
        <v>568</v>
      </c>
    </row>
    <row r="36" spans="1:26" ht="18.95" customHeight="1">
      <c r="A36" s="215" t="s">
        <v>569</v>
      </c>
      <c r="B36" s="214" t="s">
        <v>570</v>
      </c>
      <c r="C36" s="216">
        <v>130</v>
      </c>
      <c r="D36" s="214" t="s">
        <v>571</v>
      </c>
      <c r="E36" s="217">
        <f>0.707*C36*COS(RADIANS(E35))</f>
        <v>64.990184258855606</v>
      </c>
      <c r="G36" s="214" t="s">
        <v>86</v>
      </c>
      <c r="H36" s="223">
        <f>0.563/(C36-C37)/C37</f>
        <v>1.6320926819921001E-3</v>
      </c>
      <c r="I36" s="245"/>
      <c r="J36" s="215" t="s">
        <v>572</v>
      </c>
      <c r="K36" s="214">
        <f>(C36-C37*2)*C37*(C36*0.5-C37*0.5)*2+(C37*C36/2*C36/4*2)*2</f>
        <v>65874.106022000007</v>
      </c>
      <c r="L36" s="222" t="s">
        <v>115</v>
      </c>
      <c r="M36" s="214" t="s">
        <v>573</v>
      </c>
      <c r="N36" s="241">
        <f>2*(C36-C37)*(C36-C37)*C37-4.5*(4-3.14)*C37^3</f>
        <v>87741.850304430001</v>
      </c>
      <c r="P36" s="111" t="s">
        <v>574</v>
      </c>
      <c r="Q36" s="239">
        <v>5</v>
      </c>
      <c r="R36" s="239"/>
      <c r="S36" s="239">
        <f>1.37*SQRT(Q36*200000/N34)</f>
        <v>66.849154996974505</v>
      </c>
      <c r="T36" s="239" t="s">
        <v>567</v>
      </c>
      <c r="U36" s="239">
        <f>1.51*200000*Q36/N34/Q35/Q35</f>
        <v>1.7172078625935301</v>
      </c>
      <c r="W36" s="114">
        <f>(C36-C37-C37-12)/C37</f>
        <v>41.542435424354203</v>
      </c>
      <c r="X36" s="114">
        <f>SQRT(310)*W36</f>
        <v>731.43005250390104</v>
      </c>
      <c r="Y36" s="114">
        <f>(1-X36*0.000448)*1.42*310</f>
        <v>295.95497191772699</v>
      </c>
    </row>
    <row r="37" spans="1:26" ht="18.95" customHeight="1">
      <c r="A37" s="236">
        <v>3</v>
      </c>
      <c r="B37" s="214" t="s">
        <v>575</v>
      </c>
      <c r="C37" s="216">
        <v>2.71</v>
      </c>
      <c r="D37" s="214" t="s">
        <v>576</v>
      </c>
      <c r="E37" s="217">
        <f>0.707*C36*SIN(RADIANS(E35))</f>
        <v>64.990184258855606</v>
      </c>
      <c r="G37" s="214" t="s">
        <v>577</v>
      </c>
      <c r="H37" s="223">
        <f>H35*H36*1000</f>
        <v>13.0567414559368</v>
      </c>
      <c r="I37" s="245"/>
      <c r="J37" s="215" t="s">
        <v>578</v>
      </c>
      <c r="K37" s="214">
        <f>0.6*N34*Q38*Q37/1000</f>
        <v>161.96130719999999</v>
      </c>
      <c r="L37" s="222" t="s">
        <v>315</v>
      </c>
      <c r="M37" s="214" t="s">
        <v>579</v>
      </c>
      <c r="N37" s="241">
        <f>N36*N35/1000000</f>
        <v>19.899851649044699</v>
      </c>
      <c r="P37" s="111" t="s">
        <v>580</v>
      </c>
      <c r="Q37" s="239">
        <f>IF(Q35&lt;S35,1,IF(Q35&gt;S36,U36,U35))</f>
        <v>1</v>
      </c>
      <c r="R37" s="239"/>
      <c r="S37" s="239"/>
      <c r="T37" s="239"/>
      <c r="U37" s="239"/>
    </row>
    <row r="38" spans="1:26" ht="18.95" customHeight="1">
      <c r="A38" s="215" t="s">
        <v>89</v>
      </c>
      <c r="B38" s="214" t="s">
        <v>581</v>
      </c>
      <c r="C38" s="216">
        <v>12</v>
      </c>
      <c r="D38" s="214" t="s">
        <v>582</v>
      </c>
      <c r="E38" s="217">
        <f>C38*1000*1000*E37/C40</f>
        <v>209.50897630008299</v>
      </c>
      <c r="G38" s="214" t="s">
        <v>583</v>
      </c>
      <c r="H38" s="216">
        <v>17</v>
      </c>
      <c r="I38" s="245" t="s">
        <v>400</v>
      </c>
      <c r="J38" s="215" t="s">
        <v>584</v>
      </c>
      <c r="K38" s="214">
        <f>H35/K37</f>
        <v>4.9394513654555099E-2</v>
      </c>
      <c r="L38" s="222"/>
      <c r="M38" s="214" t="s">
        <v>585</v>
      </c>
      <c r="N38" s="241">
        <f>H38/N37</f>
        <v>0.85427772527219104</v>
      </c>
      <c r="P38" s="111" t="s">
        <v>586</v>
      </c>
      <c r="Q38" s="239">
        <f>(C36-C37-C37-A37*2)*C37*2</f>
        <v>642.70360000000005</v>
      </c>
      <c r="R38" s="239"/>
      <c r="S38" s="239"/>
      <c r="T38" s="239"/>
      <c r="U38" s="239"/>
    </row>
    <row r="39" spans="1:26" ht="18.95" customHeight="1">
      <c r="A39" s="237">
        <f>(C36-C37-C37-A37*2)/C37</f>
        <v>43.756457564575598</v>
      </c>
      <c r="B39" s="214" t="s">
        <v>587</v>
      </c>
      <c r="C39" s="216">
        <v>1</v>
      </c>
      <c r="D39" s="214" t="s">
        <v>588</v>
      </c>
      <c r="E39" s="217">
        <f>C39*1000*1000*E36/C40</f>
        <v>17.459081358340299</v>
      </c>
      <c r="G39" s="214" t="s">
        <v>87</v>
      </c>
      <c r="H39" s="223">
        <f>0.5*C36/C37/(C36-C37)^3</f>
        <v>1.1629504372417001E-5</v>
      </c>
      <c r="I39" s="246"/>
      <c r="J39" s="215" t="s">
        <v>589</v>
      </c>
      <c r="K39" s="214">
        <f>N34*K36</f>
        <v>27667124.529240001</v>
      </c>
      <c r="L39" s="222" t="s">
        <v>400</v>
      </c>
      <c r="M39" s="242" t="s">
        <v>590</v>
      </c>
      <c r="N39" s="241">
        <f>C38/MIN(K40:K41)</f>
        <v>0.73790335157095799</v>
      </c>
    </row>
    <row r="40" spans="1:26" ht="18.95" customHeight="1">
      <c r="A40" s="218">
        <f>(1-(SQRT(310)*A39)*0.000448)*1.42*310</f>
        <v>288.26737049213</v>
      </c>
      <c r="B40" s="219" t="s">
        <v>591</v>
      </c>
      <c r="C40" s="220">
        <f>(C36-C37)^3*C37*0.666</f>
        <v>3722428.6275411402</v>
      </c>
      <c r="D40" s="219" t="s">
        <v>592</v>
      </c>
      <c r="E40" s="221">
        <f>E38+E39</f>
        <v>226.96805765842299</v>
      </c>
      <c r="G40" s="214" t="s">
        <v>593</v>
      </c>
      <c r="H40" s="223">
        <f>H38*1000*1000*H39</f>
        <v>197.70157433109</v>
      </c>
      <c r="I40" s="241" t="s">
        <v>594</v>
      </c>
      <c r="J40" s="215" t="s">
        <v>595</v>
      </c>
      <c r="K40" s="214">
        <f>(IF(K39-(K39-N34*K35)*(3.57*(C36-2*C37-2*A37)/C37*SQRT(N34/200000)-4)&lt;K39,K39-(K39-N34*K35)*(3.57*(C36-2*C37-2*A37)/C37*SQRT(N34/200000)-4),K39))/1000000</f>
        <v>16.262292310304101</v>
      </c>
      <c r="L40" s="222" t="s">
        <v>400</v>
      </c>
      <c r="M40" s="214" t="s">
        <v>596</v>
      </c>
      <c r="N40" s="241">
        <f>C39/MIN(K40:K41)</f>
        <v>6.1491945964246501E-2</v>
      </c>
      <c r="W40" s="114">
        <f>H41/310</f>
        <v>1.38709677419355</v>
      </c>
      <c r="Z40" s="114">
        <f>H40/185</f>
        <v>1.06865715854643</v>
      </c>
    </row>
    <row r="41" spans="1:26" ht="18.95" customHeight="1">
      <c r="D41" s="114" t="s">
        <v>597</v>
      </c>
      <c r="E41" s="114">
        <f>(C36-1*C37)*4*0.00000785*C37*1000</f>
        <v>10.83161526</v>
      </c>
      <c r="G41" s="214" t="s">
        <v>598</v>
      </c>
      <c r="H41" s="214">
        <f>ROUND(SQRT(E40^2+3*(H37+H40)^2),0)</f>
        <v>430</v>
      </c>
      <c r="I41" s="243">
        <f>H41/C34</f>
        <v>1.0848621422212199</v>
      </c>
      <c r="J41" s="218" t="s">
        <v>599</v>
      </c>
      <c r="K41" s="219">
        <f>(IF(K39-(K39-345*K36)*(0.305*(C36-2*C37-2*A37)/C37*SQRT(N34/200000)-0.738)&lt;K39,K39-(K39-345*K36)*(0.305*(C36-2*C37-2*A37)/C37*SQRT(N34/200000)-0.738),K39))/1000000</f>
        <v>27.667124529239999</v>
      </c>
      <c r="L41" s="222" t="s">
        <v>400</v>
      </c>
      <c r="M41" s="219" t="s">
        <v>600</v>
      </c>
      <c r="N41" s="243">
        <f>N39+N40+(N38+K38)^2</f>
        <v>1.6160188129420801</v>
      </c>
    </row>
  </sheetData>
  <mergeCells count="11">
    <mergeCell ref="A35:C35"/>
    <mergeCell ref="J18:L18"/>
    <mergeCell ref="A19:C19"/>
    <mergeCell ref="J26:L26"/>
    <mergeCell ref="A27:C27"/>
    <mergeCell ref="J34:L34"/>
    <mergeCell ref="A1:N1"/>
    <mergeCell ref="J2:L2"/>
    <mergeCell ref="A3:C3"/>
    <mergeCell ref="J10:L10"/>
    <mergeCell ref="A11:C11"/>
  </mergeCells>
  <phoneticPr fontId="80" type="noConversion"/>
  <pageMargins left="0.47" right="0.31" top="0.74803149606299202" bottom="1.34" header="0.31496062992126" footer="0.31496062992126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J25"/>
  <sheetViews>
    <sheetView workbookViewId="0">
      <selection activeCell="I16" sqref="I16"/>
    </sheetView>
  </sheetViews>
  <sheetFormatPr defaultColWidth="9" defaultRowHeight="18.95" customHeight="1"/>
  <cols>
    <col min="1" max="1" width="8.625" style="110" customWidth="1"/>
    <col min="2" max="2" width="11.625" style="110" customWidth="1"/>
    <col min="3" max="3" width="15" style="110" customWidth="1"/>
    <col min="4" max="7" width="11.625" style="110" customWidth="1"/>
    <col min="8" max="8" width="18.875" style="110" customWidth="1"/>
    <col min="9" max="9" width="14.375" style="110" customWidth="1"/>
    <col min="10" max="10" width="9.25" style="110" customWidth="1"/>
    <col min="11" max="11" width="11.625" style="110" customWidth="1"/>
    <col min="12" max="29" width="15.125" style="110" customWidth="1"/>
    <col min="30" max="16384" width="9" style="110"/>
  </cols>
  <sheetData>
    <row r="1" spans="2:10" ht="27" customHeight="1">
      <c r="B1" s="418" t="s">
        <v>604</v>
      </c>
      <c r="C1" s="418"/>
      <c r="D1" s="418"/>
      <c r="E1" s="418"/>
      <c r="F1" s="418"/>
      <c r="G1" s="418"/>
      <c r="H1" s="418"/>
      <c r="I1" s="418"/>
      <c r="J1" s="418"/>
    </row>
    <row r="2" spans="2:10" ht="27" customHeight="1">
      <c r="B2" s="211"/>
      <c r="C2" s="211"/>
      <c r="D2" s="211"/>
      <c r="E2" s="211"/>
      <c r="F2" s="211"/>
      <c r="G2" s="211"/>
      <c r="H2" s="211"/>
      <c r="I2" s="211"/>
      <c r="J2" s="211"/>
    </row>
    <row r="3" spans="2:10" s="114" customFormat="1" ht="18.95" customHeight="1">
      <c r="B3" s="417" t="s">
        <v>605</v>
      </c>
      <c r="C3" s="413"/>
      <c r="D3" s="414"/>
      <c r="E3" s="212" t="s">
        <v>33</v>
      </c>
      <c r="F3" s="213">
        <v>30</v>
      </c>
      <c r="H3" s="214" t="s">
        <v>563</v>
      </c>
      <c r="I3" s="216">
        <v>8</v>
      </c>
      <c r="J3" s="222" t="s">
        <v>315</v>
      </c>
    </row>
    <row r="4" spans="2:10" s="114" customFormat="1" ht="18.95" customHeight="1">
      <c r="B4" s="419" t="s">
        <v>178</v>
      </c>
      <c r="C4" s="214" t="s">
        <v>570</v>
      </c>
      <c r="D4" s="216">
        <v>138</v>
      </c>
      <c r="E4" s="214" t="s">
        <v>571</v>
      </c>
      <c r="F4" s="217">
        <f>0.577*D4*COS(RADIANS(F3))</f>
        <v>68.958138801739693</v>
      </c>
      <c r="H4" s="214" t="s">
        <v>86</v>
      </c>
      <c r="I4" s="223">
        <f>0.606/(D4-D5)/D5</f>
        <v>1.78892988929889E-3</v>
      </c>
      <c r="J4" s="222"/>
    </row>
    <row r="5" spans="2:10" s="114" customFormat="1" ht="18.95" customHeight="1">
      <c r="B5" s="419"/>
      <c r="C5" s="214" t="s">
        <v>575</v>
      </c>
      <c r="D5" s="216">
        <v>2.5</v>
      </c>
      <c r="E5" s="214" t="s">
        <v>576</v>
      </c>
      <c r="F5" s="217">
        <f>0.577*D4*SIN(RADIANS(F3))</f>
        <v>39.813000000000002</v>
      </c>
      <c r="H5" s="214" t="s">
        <v>577</v>
      </c>
      <c r="I5" s="223">
        <f>I3*I4*1000</f>
        <v>14.311439114391099</v>
      </c>
      <c r="J5" s="222"/>
    </row>
    <row r="6" spans="2:10" s="114" customFormat="1" ht="18.95" customHeight="1">
      <c r="B6" s="419"/>
      <c r="C6" s="214" t="s">
        <v>581</v>
      </c>
      <c r="D6" s="216">
        <v>12</v>
      </c>
      <c r="E6" s="214" t="s">
        <v>582</v>
      </c>
      <c r="F6" s="217">
        <f>D6*1000*1000*F4/D8</f>
        <v>276.60740772983598</v>
      </c>
      <c r="H6" s="214" t="s">
        <v>583</v>
      </c>
      <c r="I6" s="216">
        <v>17</v>
      </c>
      <c r="J6" s="222" t="s">
        <v>400</v>
      </c>
    </row>
    <row r="7" spans="2:10" s="114" customFormat="1" ht="18.95" customHeight="1">
      <c r="B7" s="419"/>
      <c r="C7" s="214" t="s">
        <v>587</v>
      </c>
      <c r="D7" s="216">
        <v>1</v>
      </c>
      <c r="E7" s="214" t="s">
        <v>588</v>
      </c>
      <c r="F7" s="217">
        <f>D7*1000*1000*F5/D8</f>
        <v>13.3082801093888</v>
      </c>
      <c r="H7" s="214" t="s">
        <v>87</v>
      </c>
      <c r="I7" s="223">
        <f>0.577*D4/D5/(D4-D5)^3</f>
        <v>1.2802565465232E-5</v>
      </c>
      <c r="J7" s="214"/>
    </row>
    <row r="8" spans="2:10" s="114" customFormat="1" ht="18.95" customHeight="1">
      <c r="B8" s="420"/>
      <c r="C8" s="219" t="s">
        <v>591</v>
      </c>
      <c r="D8" s="220">
        <f>(D4-D5)^3*D5*0.481</f>
        <v>2991596.1846874999</v>
      </c>
      <c r="E8" s="219" t="s">
        <v>592</v>
      </c>
      <c r="F8" s="221">
        <f>F6+F7</f>
        <v>289.91568783922497</v>
      </c>
      <c r="H8" s="214" t="s">
        <v>593</v>
      </c>
      <c r="I8" s="223">
        <f>I6*1000*1000*I7</f>
        <v>217.64361290894399</v>
      </c>
      <c r="J8" s="214"/>
    </row>
    <row r="9" spans="2:10" ht="18.95" customHeight="1">
      <c r="E9" s="114" t="s">
        <v>597</v>
      </c>
      <c r="F9" s="114">
        <f>(D4-1*D5)*3.46*0.00000785*D5*1000</f>
        <v>9.2007887499999992</v>
      </c>
      <c r="H9" s="214" t="s">
        <v>598</v>
      </c>
      <c r="I9" s="214">
        <f>ROUND(SQRT(F8^2+3*(I5+I8)^2),0)</f>
        <v>495</v>
      </c>
      <c r="J9" s="214"/>
    </row>
    <row r="11" spans="2:10" s="114" customFormat="1" ht="18.95" customHeight="1">
      <c r="B11" s="417" t="s">
        <v>606</v>
      </c>
      <c r="C11" s="413"/>
      <c r="D11" s="414"/>
      <c r="E11" s="212" t="s">
        <v>33</v>
      </c>
      <c r="F11" s="213">
        <v>30</v>
      </c>
      <c r="H11" s="214" t="s">
        <v>563</v>
      </c>
      <c r="I11" s="216">
        <v>8</v>
      </c>
      <c r="J11" s="222" t="s">
        <v>315</v>
      </c>
    </row>
    <row r="12" spans="2:10" s="114" customFormat="1" ht="18.95" customHeight="1">
      <c r="B12" s="419" t="s">
        <v>178</v>
      </c>
      <c r="C12" s="214" t="s">
        <v>570</v>
      </c>
      <c r="D12" s="216">
        <v>162</v>
      </c>
      <c r="E12" s="214" t="s">
        <v>571</v>
      </c>
      <c r="F12" s="217">
        <f>0.577*D12*COS(RADIANS(F11))</f>
        <v>80.950858593346595</v>
      </c>
      <c r="H12" s="214" t="s">
        <v>86</v>
      </c>
      <c r="I12" s="223">
        <f>0.606/(D12-D13)/D13</f>
        <v>1.3837590980448099E-3</v>
      </c>
      <c r="J12" s="222"/>
    </row>
    <row r="13" spans="2:10" s="114" customFormat="1" ht="18.95" customHeight="1">
      <c r="B13" s="419"/>
      <c r="C13" s="214" t="s">
        <v>575</v>
      </c>
      <c r="D13" s="216">
        <v>2.75</v>
      </c>
      <c r="E13" s="214" t="s">
        <v>576</v>
      </c>
      <c r="F13" s="217">
        <f>0.577*D12*SIN(RADIANS(F11))</f>
        <v>46.737000000000002</v>
      </c>
      <c r="H13" s="214" t="s">
        <v>577</v>
      </c>
      <c r="I13" s="223">
        <f>I11*I12*1000</f>
        <v>11.0700727843585</v>
      </c>
      <c r="J13" s="222"/>
    </row>
    <row r="14" spans="2:10" s="114" customFormat="1" ht="18.95" customHeight="1">
      <c r="B14" s="419"/>
      <c r="C14" s="214" t="s">
        <v>581</v>
      </c>
      <c r="D14" s="216">
        <v>12</v>
      </c>
      <c r="E14" s="214" t="s">
        <v>582</v>
      </c>
      <c r="F14" s="217">
        <f>D14*1000*1000*F12/D16</f>
        <v>181.838823241071</v>
      </c>
      <c r="H14" s="214" t="s">
        <v>583</v>
      </c>
      <c r="I14" s="216">
        <v>17</v>
      </c>
      <c r="J14" s="222" t="s">
        <v>400</v>
      </c>
    </row>
    <row r="15" spans="2:10" s="114" customFormat="1" ht="18.95" customHeight="1">
      <c r="B15" s="419"/>
      <c r="C15" s="214" t="s">
        <v>587</v>
      </c>
      <c r="D15" s="216">
        <v>1</v>
      </c>
      <c r="E15" s="214" t="s">
        <v>588</v>
      </c>
      <c r="F15" s="217">
        <f>D15*1000*1000*F13/D16</f>
        <v>8.7487244622797693</v>
      </c>
      <c r="H15" s="214" t="s">
        <v>87</v>
      </c>
      <c r="I15" s="223">
        <f>0.577*D12/D13/(D12-D13)^3</f>
        <v>8.4162729327131398E-6</v>
      </c>
      <c r="J15" s="214"/>
    </row>
    <row r="16" spans="2:10" s="114" customFormat="1" ht="18.95" customHeight="1">
      <c r="B16" s="420"/>
      <c r="C16" s="219" t="s">
        <v>591</v>
      </c>
      <c r="D16" s="220">
        <f>(D12-D13)^3*D13*0.481</f>
        <v>5342150.1844648402</v>
      </c>
      <c r="E16" s="219" t="s">
        <v>592</v>
      </c>
      <c r="F16" s="221">
        <f>F14+F15</f>
        <v>190.58754770335099</v>
      </c>
      <c r="H16" s="214" t="s">
        <v>593</v>
      </c>
      <c r="I16" s="223">
        <f>I14*1000*1000*I15</f>
        <v>143.07663985612299</v>
      </c>
      <c r="J16" s="214"/>
    </row>
    <row r="17" spans="2:10" ht="18.95" customHeight="1">
      <c r="E17" s="114" t="s">
        <v>597</v>
      </c>
      <c r="F17" s="114">
        <f>(D12-1*D13)*3.46*0.00000785*D13*1000</f>
        <v>11.8948204375</v>
      </c>
      <c r="H17" s="214" t="s">
        <v>598</v>
      </c>
      <c r="I17" s="214">
        <f>ROUND(SQRT(F16^2+3*(I13+I16)^2),0)</f>
        <v>328</v>
      </c>
      <c r="J17" s="214"/>
    </row>
    <row r="19" spans="2:10" s="114" customFormat="1" ht="18.95" customHeight="1">
      <c r="B19" s="417" t="s">
        <v>607</v>
      </c>
      <c r="C19" s="413"/>
      <c r="D19" s="414"/>
      <c r="E19" s="212" t="s">
        <v>33</v>
      </c>
      <c r="F19" s="213">
        <v>30</v>
      </c>
      <c r="H19" s="214" t="s">
        <v>563</v>
      </c>
      <c r="I19" s="216">
        <v>9.5</v>
      </c>
      <c r="J19" s="222" t="s">
        <v>315</v>
      </c>
    </row>
    <row r="20" spans="2:10" s="114" customFormat="1" ht="18.95" customHeight="1">
      <c r="B20" s="419" t="s">
        <v>178</v>
      </c>
      <c r="C20" s="214" t="s">
        <v>570</v>
      </c>
      <c r="D20" s="216">
        <v>155</v>
      </c>
      <c r="E20" s="214" t="s">
        <v>571</v>
      </c>
      <c r="F20" s="217">
        <f>0.577*D20*COS(RADIANS(F19))</f>
        <v>77.4529819874613</v>
      </c>
      <c r="H20" s="214" t="s">
        <v>86</v>
      </c>
      <c r="I20" s="223">
        <f>0.606/(D20-D21)/D21</f>
        <v>1.32894736842105E-3</v>
      </c>
      <c r="J20" s="222"/>
    </row>
    <row r="21" spans="2:10" s="114" customFormat="1" ht="18.95" customHeight="1">
      <c r="B21" s="419"/>
      <c r="C21" s="214" t="s">
        <v>575</v>
      </c>
      <c r="D21" s="216">
        <v>3</v>
      </c>
      <c r="E21" s="214" t="s">
        <v>576</v>
      </c>
      <c r="F21" s="217">
        <f>0.577*D20*SIN(RADIANS(F19))</f>
        <v>44.717500000000001</v>
      </c>
      <c r="H21" s="214" t="s">
        <v>577</v>
      </c>
      <c r="I21" s="223">
        <f>I19*I20*1000</f>
        <v>12.625</v>
      </c>
      <c r="J21" s="222"/>
    </row>
    <row r="22" spans="2:10" s="114" customFormat="1" ht="18.95" customHeight="1">
      <c r="B22" s="419"/>
      <c r="C22" s="214" t="s">
        <v>581</v>
      </c>
      <c r="D22" s="216">
        <v>14.1</v>
      </c>
      <c r="E22" s="214" t="s">
        <v>582</v>
      </c>
      <c r="F22" s="217">
        <f>D22*1000*1000*F20/D24</f>
        <v>215.506394344782</v>
      </c>
      <c r="H22" s="214" t="s">
        <v>583</v>
      </c>
      <c r="I22" s="216">
        <v>10.3</v>
      </c>
      <c r="J22" s="222" t="s">
        <v>400</v>
      </c>
    </row>
    <row r="23" spans="2:10" s="114" customFormat="1" ht="18.95" customHeight="1">
      <c r="B23" s="419"/>
      <c r="C23" s="214" t="s">
        <v>587</v>
      </c>
      <c r="D23" s="216">
        <v>1.46</v>
      </c>
      <c r="E23" s="214" t="s">
        <v>588</v>
      </c>
      <c r="F23" s="217">
        <f>D23*1000*1000*F21/D24</f>
        <v>12.883482637523899</v>
      </c>
      <c r="H23" s="214" t="s">
        <v>87</v>
      </c>
      <c r="I23" s="223">
        <f>0.577*D20/D21/(D20-D21)^3</f>
        <v>8.4889796556835293E-6</v>
      </c>
      <c r="J23" s="214"/>
    </row>
    <row r="24" spans="2:10" s="114" customFormat="1" ht="18.95" customHeight="1">
      <c r="B24" s="420"/>
      <c r="C24" s="219" t="s">
        <v>591</v>
      </c>
      <c r="D24" s="220">
        <f>(D20-D21)^3*D21*0.481</f>
        <v>5067538.9440000001</v>
      </c>
      <c r="E24" s="219" t="s">
        <v>592</v>
      </c>
      <c r="F24" s="221">
        <f>F22+F23</f>
        <v>228.38987698230599</v>
      </c>
      <c r="H24" s="214" t="s">
        <v>593</v>
      </c>
      <c r="I24" s="223">
        <f>I22*1000*1000*I23</f>
        <v>87.436490453540401</v>
      </c>
      <c r="J24" s="214"/>
    </row>
    <row r="25" spans="2:10" ht="18.95" customHeight="1">
      <c r="E25" s="114" t="s">
        <v>597</v>
      </c>
      <c r="F25" s="114">
        <f>(D20-1*D21)*3.46*0.00000785*D21*1000</f>
        <v>12.385415999999999</v>
      </c>
      <c r="H25" s="214" t="s">
        <v>598</v>
      </c>
      <c r="I25" s="214">
        <f>ROUND(SQRT(F24^2+3*(I21+I24)^2),0)</f>
        <v>287</v>
      </c>
      <c r="J25" s="214"/>
    </row>
  </sheetData>
  <sheetProtection password="CE28" sheet="1" objects="1" scenarios="1"/>
  <mergeCells count="7">
    <mergeCell ref="B20:B24"/>
    <mergeCell ref="B1:J1"/>
    <mergeCell ref="B3:D3"/>
    <mergeCell ref="B11:D11"/>
    <mergeCell ref="B19:D19"/>
    <mergeCell ref="B4:B8"/>
    <mergeCell ref="B12:B16"/>
  </mergeCells>
  <phoneticPr fontId="80" type="noConversion"/>
  <pageMargins left="0.70866141732283505" right="0.70866141732283505" top="0.74803149606299202" bottom="0.74803149606299202" header="0.31496062992126" footer="0.31496062992126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44"/>
  <sheetViews>
    <sheetView workbookViewId="0">
      <selection activeCell="G12" sqref="G12"/>
    </sheetView>
  </sheetViews>
  <sheetFormatPr defaultColWidth="9" defaultRowHeight="24" customHeight="1"/>
  <cols>
    <col min="1" max="1" width="3.875" style="1" customWidth="1"/>
    <col min="2" max="2" width="5.25" style="1" customWidth="1"/>
    <col min="3" max="3" width="5.5" style="1" customWidth="1"/>
    <col min="4" max="4" width="7.625" style="1" customWidth="1"/>
    <col min="5" max="5" width="7.5" style="1" customWidth="1"/>
    <col min="6" max="6" width="7.125" style="1" customWidth="1"/>
    <col min="7" max="7" width="9.375" style="1" customWidth="1"/>
    <col min="8" max="9" width="7.75" style="1" customWidth="1"/>
    <col min="10" max="10" width="9" style="183"/>
    <col min="11" max="11" width="8.125" style="183" customWidth="1"/>
    <col min="12" max="12" width="6.625" style="1" customWidth="1"/>
    <col min="13" max="13" width="7.5" style="1" customWidth="1"/>
    <col min="14" max="14" width="7.875" style="1" customWidth="1"/>
    <col min="15" max="15" width="9.5" style="1" customWidth="1"/>
    <col min="16" max="16" width="9" style="1"/>
    <col min="17" max="17" width="8" style="1" customWidth="1"/>
    <col min="18" max="18" width="8.625" style="1" customWidth="1"/>
    <col min="19" max="19" width="10.625" style="1" customWidth="1"/>
    <col min="20" max="24" width="9" style="1" hidden="1" customWidth="1"/>
    <col min="25" max="25" width="11.25" style="1" hidden="1" customWidth="1"/>
    <col min="26" max="27" width="9" style="1" hidden="1" customWidth="1"/>
    <col min="28" max="28" width="10.25" style="1" hidden="1" customWidth="1"/>
    <col min="29" max="29" width="9" style="1" hidden="1" customWidth="1"/>
    <col min="30" max="30" width="12" style="1" hidden="1" customWidth="1"/>
    <col min="31" max="32" width="9" style="1" hidden="1" customWidth="1"/>
    <col min="33" max="33" width="11.25" style="1" hidden="1" customWidth="1"/>
    <col min="34" max="36" width="9" style="1" hidden="1" customWidth="1"/>
    <col min="37" max="16384" width="9" style="1"/>
  </cols>
  <sheetData>
    <row r="1" spans="1:32" ht="30.75" customHeight="1">
      <c r="A1" s="421" t="s">
        <v>608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</row>
    <row r="2" spans="1:32" s="100" customFormat="1" ht="45" customHeight="1">
      <c r="A2" s="184" t="s">
        <v>609</v>
      </c>
      <c r="B2" s="185" t="s">
        <v>610</v>
      </c>
      <c r="C2" s="185" t="s">
        <v>611</v>
      </c>
      <c r="D2" s="185" t="s">
        <v>570</v>
      </c>
      <c r="E2" s="185" t="s">
        <v>575</v>
      </c>
      <c r="F2" s="185" t="s">
        <v>612</v>
      </c>
      <c r="G2" s="185" t="s">
        <v>613</v>
      </c>
      <c r="H2" s="185" t="s">
        <v>614</v>
      </c>
      <c r="I2" s="185" t="s">
        <v>615</v>
      </c>
      <c r="J2" s="185" t="s">
        <v>616</v>
      </c>
      <c r="K2" s="185" t="s">
        <v>617</v>
      </c>
      <c r="L2" s="185" t="s">
        <v>618</v>
      </c>
      <c r="M2" s="185" t="s">
        <v>619</v>
      </c>
      <c r="N2" s="185" t="s">
        <v>620</v>
      </c>
      <c r="O2" s="185" t="s">
        <v>621</v>
      </c>
      <c r="P2" s="185" t="s">
        <v>622</v>
      </c>
      <c r="Q2" s="185" t="s">
        <v>623</v>
      </c>
      <c r="R2" s="185" t="s">
        <v>624</v>
      </c>
      <c r="S2" s="204" t="s">
        <v>625</v>
      </c>
      <c r="T2" s="100" t="s">
        <v>89</v>
      </c>
      <c r="U2" s="100" t="s">
        <v>571</v>
      </c>
      <c r="V2" s="100" t="s">
        <v>576</v>
      </c>
      <c r="W2" s="100" t="s">
        <v>124</v>
      </c>
      <c r="X2" s="100" t="s">
        <v>78</v>
      </c>
      <c r="Y2" s="209" t="s">
        <v>626</v>
      </c>
      <c r="Z2" s="209" t="s">
        <v>627</v>
      </c>
      <c r="AA2" s="100" t="s">
        <v>628</v>
      </c>
      <c r="AB2" s="100" t="s">
        <v>629</v>
      </c>
      <c r="AC2" s="100" t="s">
        <v>630</v>
      </c>
      <c r="AD2" s="100" t="s">
        <v>631</v>
      </c>
      <c r="AE2" s="100" t="s">
        <v>632</v>
      </c>
      <c r="AF2" s="100" t="s">
        <v>633</v>
      </c>
    </row>
    <row r="3" spans="1:32" s="100" customFormat="1" ht="24.95" customHeight="1">
      <c r="A3" s="186">
        <v>1</v>
      </c>
      <c r="B3" s="426" t="s">
        <v>634</v>
      </c>
      <c r="C3" s="187">
        <v>4</v>
      </c>
      <c r="D3" s="187">
        <v>120</v>
      </c>
      <c r="E3" s="187">
        <v>2.5</v>
      </c>
      <c r="F3" s="187">
        <v>3</v>
      </c>
      <c r="G3" s="181">
        <f t="shared" ref="G3:G8" si="0">IF(D3=0,"",IF(C3=4,(D3-E3)*4*0.00000785*E3*1000,IF(C3=6,(D3-E3)*3.46*0.00000785*E3*1000,IF(C3=8,(D3-E3)*3.32*0.00000785*E3*1000,IF(C3=0,(D3-E3)*3.14*0.00000785*E3*1000)))))</f>
        <v>9.2237500000000008</v>
      </c>
      <c r="H3" s="187">
        <v>345</v>
      </c>
      <c r="I3" s="181">
        <f t="shared" ref="I3:I8" si="1">IF(D3=0,"",IF(C3=0,ROUND(IF(T3&lt;38060/(H3/1.111),H3/1.111,0.7*H3/1.111+11410/((D3-E3)/E3)),0),ROUND(IF(T3&lt;660/SQRT(H3/1.111),H3/1.111,(1-(SQRT((H3/1.111))*T3)*0.000448)*1.42*((H3/1.111))),0)))</f>
        <v>289</v>
      </c>
      <c r="J3" s="198">
        <v>22</v>
      </c>
      <c r="K3" s="198"/>
      <c r="L3" s="187"/>
      <c r="M3" s="187"/>
      <c r="N3" s="181">
        <f t="shared" ref="N3:N8" si="2">IF(D3=0,"",IF(C3=0,ROUND(SQRT((SQRT(Y3^2+Z3^2))^2+3*(AC3+AD3)^2),0),ROUND(SQRT((Y3+Z3)^2+3*(AC3+AD3)^2),0)))</f>
        <v>489</v>
      </c>
      <c r="O3" s="199">
        <f t="shared" ref="O3:O8" si="3">IF(D3=0,"",N3/I3)</f>
        <v>1.6920415224913501</v>
      </c>
      <c r="P3" s="187">
        <v>1000</v>
      </c>
      <c r="Q3" s="181">
        <f t="shared" ref="Q3:Q8" si="4">IF(D3=0,"",ROUND(DEGREES(M3*1000000*P3/AF3/AE3),2))</f>
        <v>0</v>
      </c>
      <c r="R3" s="181">
        <f t="shared" ref="R3:R8" si="5">IF(D3=0,"",ROUND(J3*1000000*P3^2/3/200000/W3,2))</f>
        <v>13.58</v>
      </c>
      <c r="S3" s="205"/>
      <c r="T3" s="100">
        <f t="shared" ref="T3:T8" si="6">IF(D3=0,"",IF(C3=4,(D3-2*E3-2*F3)/E3,IF(C3=6,((D3-2*E3)*3.46/6-F3*2)/E3,IF(C3=8,((D3-2*E3)*3.32/8-2*F3)/E3,IF(C3=0,(D3-E3)/E3)))))</f>
        <v>43.6</v>
      </c>
      <c r="U3" s="100">
        <f t="shared" ref="U3:U8" si="7">IF(D3=0,"",IF(C3=4,0.707*D3*COS(RADIANS(45)),IF(C3=6,0.577*D3*SIN(RADIANS(30)),IF(C3=8,0.541*D3*COS(RADIANS(67.5)),IF(C3=0,0.5*D3)))))</f>
        <v>59.990939315866697</v>
      </c>
      <c r="V3" s="100">
        <f t="shared" ref="V3:V8" si="8">IF(D3=0,"",IF(C3=4,0.707*D3*SIN(RADIANS(45)),IF(C3=6,0.577*D3*COS(RADIANS(30)),IF(C3=8,0.541*D3*SIN(RADIANS(67.5)),IF(C3=0,0.5*D3)))))</f>
        <v>59.990939315866697</v>
      </c>
      <c r="W3" s="100">
        <f t="shared" ref="W3:W8" si="9">IF(D3=0,"",IF(C3=4,(D3-E3)^3*E3*0.666,IF(C3=6,(D3-E3)^3*E3*0.481,IF(C3=8,(D3-E3)^3*E3*0.438,IF(C3=0,(D3-E3)^3*E3*0.393)))))</f>
        <v>2701020.234375</v>
      </c>
      <c r="X3" s="100">
        <f t="shared" ref="X3:X8" si="10">IF(D3=0,"",W3)</f>
        <v>2701020.234375</v>
      </c>
      <c r="Y3" s="100">
        <f t="shared" ref="Y3:Y8" si="11">IF(D3=0,"",J3*1000000*V3/W3)</f>
        <v>488.630424960315</v>
      </c>
      <c r="Z3" s="100">
        <f t="shared" ref="Z3:Z8" si="12">IF(D3=0,"",K3*1000000*U3/X3)</f>
        <v>0</v>
      </c>
      <c r="AA3" s="100">
        <f t="shared" ref="AA3:AA8" si="13">IF(D3=0,"",IF(C3=4,0.563/(D3-E3)/E3,IF(C3=6,0.606/(D3-E3)/E3,IF(C3=8,0.618/(D3-E3)/E3,IF(C3=0,0.637/(D3-E3)/E3)))))</f>
        <v>1.9165957446808501E-3</v>
      </c>
      <c r="AB3" s="100">
        <f t="shared" ref="AB3:AB8" si="14">IF(D3=0,"",IF(C3=4,0.5*D3/E3/(D3-E3)^3,IF(C3=6,0.577*D3/E3/(D3-E3)^3,IF(C3=8,0.603*D3/E3/(D3-E3)^3,IF(C3=0,0.637*D3/E3/(D3-E3)^3)))))</f>
        <v>1.47944097165368E-5</v>
      </c>
      <c r="AC3" s="100">
        <f t="shared" ref="AC3:AC8" si="15">IF(D3=0,"",L3*AA3*1000)</f>
        <v>0</v>
      </c>
      <c r="AD3" s="100">
        <f t="shared" ref="AD3:AD8" si="16">IF(D3=0,"",M3*1000000*AB3)</f>
        <v>0</v>
      </c>
      <c r="AE3" s="100">
        <f t="shared" ref="AE3:AE8" si="17">IF(D3=0,"",(D3-E3)^3*E3)</f>
        <v>4055585.9375</v>
      </c>
      <c r="AF3" s="100">
        <f t="shared" ref="AF3:AF8" si="18">IF(D3=0,"",200000/2/1.3)</f>
        <v>76923.076923076893</v>
      </c>
    </row>
    <row r="4" spans="1:32" s="100" customFormat="1" ht="24.95" customHeight="1">
      <c r="A4" s="186">
        <v>2</v>
      </c>
      <c r="B4" s="427"/>
      <c r="C4" s="187"/>
      <c r="D4" s="187"/>
      <c r="E4" s="187"/>
      <c r="F4" s="187"/>
      <c r="G4" s="181" t="str">
        <f t="shared" si="0"/>
        <v/>
      </c>
      <c r="H4" s="187"/>
      <c r="I4" s="181" t="str">
        <f t="shared" si="1"/>
        <v/>
      </c>
      <c r="J4" s="198"/>
      <c r="K4" s="198"/>
      <c r="L4" s="187"/>
      <c r="M4" s="187"/>
      <c r="N4" s="181" t="str">
        <f t="shared" si="2"/>
        <v/>
      </c>
      <c r="O4" s="199" t="str">
        <f t="shared" si="3"/>
        <v/>
      </c>
      <c r="P4" s="187">
        <v>1000</v>
      </c>
      <c r="Q4" s="181" t="str">
        <f t="shared" si="4"/>
        <v/>
      </c>
      <c r="R4" s="181" t="str">
        <f t="shared" si="5"/>
        <v/>
      </c>
      <c r="S4" s="205"/>
      <c r="T4" s="100" t="str">
        <f t="shared" si="6"/>
        <v/>
      </c>
      <c r="U4" s="100" t="str">
        <f t="shared" si="7"/>
        <v/>
      </c>
      <c r="V4" s="100" t="str">
        <f t="shared" si="8"/>
        <v/>
      </c>
      <c r="W4" s="100" t="str">
        <f t="shared" si="9"/>
        <v/>
      </c>
      <c r="X4" s="100" t="str">
        <f t="shared" si="10"/>
        <v/>
      </c>
      <c r="Y4" s="100" t="str">
        <f t="shared" si="11"/>
        <v/>
      </c>
      <c r="Z4" s="100" t="str">
        <f t="shared" si="12"/>
        <v/>
      </c>
      <c r="AA4" s="100" t="str">
        <f t="shared" si="13"/>
        <v/>
      </c>
      <c r="AB4" s="100" t="str">
        <f t="shared" si="14"/>
        <v/>
      </c>
      <c r="AC4" s="100" t="str">
        <f t="shared" si="15"/>
        <v/>
      </c>
      <c r="AD4" s="100" t="str">
        <f t="shared" si="16"/>
        <v/>
      </c>
      <c r="AE4" s="100" t="str">
        <f t="shared" si="17"/>
        <v/>
      </c>
      <c r="AF4" s="100" t="str">
        <f t="shared" si="18"/>
        <v/>
      </c>
    </row>
    <row r="5" spans="1:32" s="100" customFormat="1" ht="24.95" customHeight="1">
      <c r="A5" s="186">
        <v>3</v>
      </c>
      <c r="B5" s="427"/>
      <c r="C5" s="187"/>
      <c r="D5" s="187"/>
      <c r="E5" s="187"/>
      <c r="F5" s="187"/>
      <c r="G5" s="181" t="str">
        <f t="shared" si="0"/>
        <v/>
      </c>
      <c r="H5" s="187"/>
      <c r="I5" s="181" t="str">
        <f t="shared" si="1"/>
        <v/>
      </c>
      <c r="J5" s="198"/>
      <c r="K5" s="198"/>
      <c r="L5" s="187"/>
      <c r="M5" s="187"/>
      <c r="N5" s="181" t="str">
        <f t="shared" si="2"/>
        <v/>
      </c>
      <c r="O5" s="199" t="str">
        <f t="shared" si="3"/>
        <v/>
      </c>
      <c r="P5" s="187">
        <v>1000</v>
      </c>
      <c r="Q5" s="181" t="str">
        <f t="shared" si="4"/>
        <v/>
      </c>
      <c r="R5" s="181" t="str">
        <f t="shared" si="5"/>
        <v/>
      </c>
      <c r="S5" s="205"/>
      <c r="T5" s="100" t="str">
        <f t="shared" si="6"/>
        <v/>
      </c>
      <c r="U5" s="100" t="str">
        <f t="shared" si="7"/>
        <v/>
      </c>
      <c r="V5" s="100" t="str">
        <f t="shared" si="8"/>
        <v/>
      </c>
      <c r="W5" s="100" t="str">
        <f t="shared" si="9"/>
        <v/>
      </c>
      <c r="X5" s="100" t="str">
        <f t="shared" si="10"/>
        <v/>
      </c>
      <c r="Y5" s="100" t="str">
        <f t="shared" si="11"/>
        <v/>
      </c>
      <c r="Z5" s="100" t="str">
        <f t="shared" si="12"/>
        <v/>
      </c>
      <c r="AA5" s="100" t="str">
        <f t="shared" si="13"/>
        <v/>
      </c>
      <c r="AB5" s="100" t="str">
        <f t="shared" si="14"/>
        <v/>
      </c>
      <c r="AC5" s="100" t="str">
        <f t="shared" si="15"/>
        <v/>
      </c>
      <c r="AD5" s="100" t="str">
        <f t="shared" si="16"/>
        <v/>
      </c>
      <c r="AE5" s="100" t="str">
        <f t="shared" si="17"/>
        <v/>
      </c>
      <c r="AF5" s="100" t="str">
        <f t="shared" si="18"/>
        <v/>
      </c>
    </row>
    <row r="6" spans="1:32" s="100" customFormat="1" ht="24.95" customHeight="1">
      <c r="A6" s="186">
        <v>4</v>
      </c>
      <c r="B6" s="427"/>
      <c r="C6" s="187"/>
      <c r="D6" s="187"/>
      <c r="E6" s="187"/>
      <c r="F6" s="187"/>
      <c r="G6" s="181" t="str">
        <f t="shared" si="0"/>
        <v/>
      </c>
      <c r="H6" s="187"/>
      <c r="I6" s="181" t="str">
        <f t="shared" si="1"/>
        <v/>
      </c>
      <c r="J6" s="198"/>
      <c r="K6" s="198"/>
      <c r="L6" s="187"/>
      <c r="M6" s="187"/>
      <c r="N6" s="181" t="str">
        <f t="shared" si="2"/>
        <v/>
      </c>
      <c r="O6" s="199" t="str">
        <f t="shared" si="3"/>
        <v/>
      </c>
      <c r="P6" s="187">
        <v>1000</v>
      </c>
      <c r="Q6" s="181" t="str">
        <f t="shared" si="4"/>
        <v/>
      </c>
      <c r="R6" s="181" t="str">
        <f t="shared" si="5"/>
        <v/>
      </c>
      <c r="S6" s="205"/>
      <c r="T6" s="100" t="str">
        <f t="shared" si="6"/>
        <v/>
      </c>
      <c r="U6" s="100" t="str">
        <f t="shared" si="7"/>
        <v/>
      </c>
      <c r="V6" s="100" t="str">
        <f t="shared" si="8"/>
        <v/>
      </c>
      <c r="W6" s="100" t="str">
        <f t="shared" si="9"/>
        <v/>
      </c>
      <c r="X6" s="100" t="str">
        <f t="shared" si="10"/>
        <v/>
      </c>
      <c r="Y6" s="100" t="str">
        <f t="shared" si="11"/>
        <v/>
      </c>
      <c r="Z6" s="100" t="str">
        <f t="shared" si="12"/>
        <v/>
      </c>
      <c r="AA6" s="100" t="str">
        <f t="shared" si="13"/>
        <v/>
      </c>
      <c r="AB6" s="100" t="str">
        <f t="shared" si="14"/>
        <v/>
      </c>
      <c r="AC6" s="100" t="str">
        <f t="shared" si="15"/>
        <v/>
      </c>
      <c r="AD6" s="100" t="str">
        <f t="shared" si="16"/>
        <v/>
      </c>
      <c r="AE6" s="100" t="str">
        <f t="shared" si="17"/>
        <v/>
      </c>
      <c r="AF6" s="100" t="str">
        <f t="shared" si="18"/>
        <v/>
      </c>
    </row>
    <row r="7" spans="1:32" s="100" customFormat="1" ht="24.95" customHeight="1">
      <c r="A7" s="186">
        <v>5</v>
      </c>
      <c r="B7" s="427"/>
      <c r="C7" s="187"/>
      <c r="D7" s="187"/>
      <c r="E7" s="187"/>
      <c r="F7" s="187"/>
      <c r="G7" s="181" t="str">
        <f t="shared" si="0"/>
        <v/>
      </c>
      <c r="H7" s="187"/>
      <c r="I7" s="181" t="str">
        <f t="shared" si="1"/>
        <v/>
      </c>
      <c r="J7" s="198"/>
      <c r="K7" s="198"/>
      <c r="L7" s="187"/>
      <c r="M7" s="187"/>
      <c r="N7" s="181" t="str">
        <f t="shared" si="2"/>
        <v/>
      </c>
      <c r="O7" s="199" t="str">
        <f t="shared" si="3"/>
        <v/>
      </c>
      <c r="P7" s="187">
        <v>1000</v>
      </c>
      <c r="Q7" s="181" t="str">
        <f t="shared" si="4"/>
        <v/>
      </c>
      <c r="R7" s="181" t="str">
        <f t="shared" si="5"/>
        <v/>
      </c>
      <c r="S7" s="205"/>
      <c r="T7" s="100" t="str">
        <f t="shared" si="6"/>
        <v/>
      </c>
      <c r="U7" s="100" t="str">
        <f t="shared" si="7"/>
        <v/>
      </c>
      <c r="V7" s="100" t="str">
        <f t="shared" si="8"/>
        <v/>
      </c>
      <c r="W7" s="100" t="str">
        <f t="shared" si="9"/>
        <v/>
      </c>
      <c r="X7" s="100" t="str">
        <f t="shared" si="10"/>
        <v/>
      </c>
      <c r="Y7" s="100" t="str">
        <f t="shared" si="11"/>
        <v/>
      </c>
      <c r="Z7" s="100" t="str">
        <f t="shared" si="12"/>
        <v/>
      </c>
      <c r="AA7" s="100" t="str">
        <f t="shared" si="13"/>
        <v/>
      </c>
      <c r="AB7" s="100" t="str">
        <f t="shared" si="14"/>
        <v/>
      </c>
      <c r="AC7" s="100" t="str">
        <f t="shared" si="15"/>
        <v/>
      </c>
      <c r="AD7" s="100" t="str">
        <f t="shared" si="16"/>
        <v/>
      </c>
      <c r="AE7" s="100" t="str">
        <f t="shared" si="17"/>
        <v/>
      </c>
      <c r="AF7" s="100" t="str">
        <f t="shared" si="18"/>
        <v/>
      </c>
    </row>
    <row r="8" spans="1:32" s="100" customFormat="1" ht="24.95" customHeight="1">
      <c r="A8" s="186">
        <v>6</v>
      </c>
      <c r="B8" s="428"/>
      <c r="C8" s="187"/>
      <c r="D8" s="187"/>
      <c r="E8" s="187"/>
      <c r="F8" s="187"/>
      <c r="G8" s="181" t="str">
        <f t="shared" si="0"/>
        <v/>
      </c>
      <c r="H8" s="187"/>
      <c r="I8" s="181" t="str">
        <f t="shared" si="1"/>
        <v/>
      </c>
      <c r="J8" s="198"/>
      <c r="K8" s="198"/>
      <c r="L8" s="187"/>
      <c r="M8" s="187"/>
      <c r="N8" s="181" t="str">
        <f t="shared" si="2"/>
        <v/>
      </c>
      <c r="O8" s="199" t="str">
        <f t="shared" si="3"/>
        <v/>
      </c>
      <c r="P8" s="187">
        <v>1000</v>
      </c>
      <c r="Q8" s="181" t="str">
        <f t="shared" si="4"/>
        <v/>
      </c>
      <c r="R8" s="181" t="str">
        <f t="shared" si="5"/>
        <v/>
      </c>
      <c r="S8" s="205"/>
      <c r="T8" s="100" t="str">
        <f t="shared" si="6"/>
        <v/>
      </c>
      <c r="U8" s="100" t="str">
        <f t="shared" si="7"/>
        <v/>
      </c>
      <c r="V8" s="100" t="str">
        <f t="shared" si="8"/>
        <v/>
      </c>
      <c r="W8" s="100" t="str">
        <f t="shared" si="9"/>
        <v/>
      </c>
      <c r="X8" s="100" t="str">
        <f t="shared" si="10"/>
        <v/>
      </c>
      <c r="Y8" s="100" t="str">
        <f t="shared" si="11"/>
        <v/>
      </c>
      <c r="Z8" s="100" t="str">
        <f t="shared" si="12"/>
        <v/>
      </c>
      <c r="AA8" s="100" t="str">
        <f t="shared" si="13"/>
        <v/>
      </c>
      <c r="AB8" s="100" t="str">
        <f t="shared" si="14"/>
        <v/>
      </c>
      <c r="AC8" s="100" t="str">
        <f t="shared" si="15"/>
        <v/>
      </c>
      <c r="AD8" s="100" t="str">
        <f t="shared" si="16"/>
        <v/>
      </c>
      <c r="AE8" s="100" t="str">
        <f t="shared" si="17"/>
        <v/>
      </c>
      <c r="AF8" s="100" t="str">
        <f t="shared" si="18"/>
        <v/>
      </c>
    </row>
    <row r="9" spans="1:32" s="100" customFormat="1" ht="14.25" customHeight="1">
      <c r="A9" s="186"/>
      <c r="B9" s="181"/>
      <c r="C9" s="181"/>
      <c r="D9" s="181"/>
      <c r="E9" s="181"/>
      <c r="F9" s="181"/>
      <c r="G9" s="181"/>
      <c r="H9" s="181"/>
      <c r="I9" s="181"/>
      <c r="J9" s="200"/>
      <c r="K9" s="200"/>
      <c r="L9" s="181"/>
      <c r="M9" s="181"/>
      <c r="N9" s="181"/>
      <c r="O9" s="199"/>
      <c r="P9" s="181"/>
      <c r="Q9" s="181"/>
      <c r="R9" s="181"/>
      <c r="S9" s="205"/>
    </row>
    <row r="10" spans="1:32" s="100" customFormat="1" ht="24.95" customHeight="1">
      <c r="A10" s="186">
        <v>1</v>
      </c>
      <c r="B10" s="426" t="s">
        <v>635</v>
      </c>
      <c r="C10" s="359" t="s">
        <v>636</v>
      </c>
      <c r="D10" s="187">
        <v>165.2</v>
      </c>
      <c r="E10" s="187">
        <v>3</v>
      </c>
      <c r="F10" s="187">
        <v>3</v>
      </c>
      <c r="G10" s="181">
        <f>IF(D10=0,"",E20)</f>
        <v>13.0567399899136</v>
      </c>
      <c r="H10" s="187">
        <v>420</v>
      </c>
      <c r="I10" s="181">
        <f>IF(D10=0,"",ROUND(IF(T10&lt;660/SQRT(H10/1.111),H10/1.111,(1-(SQRT((H10/1.111))*T10)*0.000448)*1.42*((H10/1.111))),0))</f>
        <v>378</v>
      </c>
      <c r="J10" s="198">
        <v>18.7</v>
      </c>
      <c r="K10" s="198">
        <v>1.3</v>
      </c>
      <c r="L10" s="187">
        <v>12.5</v>
      </c>
      <c r="M10" s="187">
        <v>12.7</v>
      </c>
      <c r="N10" s="181">
        <f>IF(D10=0,"",ROUND(SQRT((Y10+Z10)^2+3*(AC10+AD10)^2),0))</f>
        <v>327</v>
      </c>
      <c r="O10" s="199">
        <f>IF(D10=0,"",N10/I10)</f>
        <v>0.865079365079365</v>
      </c>
      <c r="P10" s="187">
        <v>1000</v>
      </c>
      <c r="Q10" s="181">
        <f>IF(D10=0,"",ROUND(DEGREES(M10*1000000*P10/AF10/AE10),2))</f>
        <v>0.87</v>
      </c>
      <c r="R10" s="181">
        <f>IF(D10=0,"",ROUND(J10*1000000*P10^2/3/200000/W10,2))</f>
        <v>5.0599999999999996</v>
      </c>
      <c r="S10" s="205"/>
      <c r="T10" s="100">
        <f>IF(D10=0,"",((D10-2*E10)*3.46/6-F10*2)/E10)</f>
        <v>28.601777777777802</v>
      </c>
      <c r="U10" s="100">
        <f>IF(D10=0,"",0.577*D10*SIN(RADIANS(30)))</f>
        <v>47.660200000000003</v>
      </c>
      <c r="V10" s="100">
        <f>IF(D10=0,"",D10/2)</f>
        <v>82.6</v>
      </c>
      <c r="W10" s="100">
        <f>IF(D10="","",F20)</f>
        <v>6153533.8126951801</v>
      </c>
      <c r="X10" s="100">
        <f>IF(D10="","",G20)</f>
        <v>5572458.5308545101</v>
      </c>
      <c r="Y10" s="100">
        <f>IF(D10=0,"",J10*1000000*V10/W10)</f>
        <v>251.01349029940201</v>
      </c>
      <c r="Z10" s="100">
        <f>IF(D10=0,"",K10*1000000*U10/X10)</f>
        <v>11.118657888064901</v>
      </c>
      <c r="AA10" s="100">
        <f>IF(D10=0,"",0.618/(D10-E10)/E10)</f>
        <v>1.2700369913686801E-3</v>
      </c>
      <c r="AB10" s="100">
        <f>IF(D10=0,"",V10/AE10)</f>
        <v>7.6330068232896102E-6</v>
      </c>
      <c r="AC10" s="100">
        <f>IF(D10=0,"",L10*AA10*1000)</f>
        <v>15.875462392108499</v>
      </c>
      <c r="AD10" s="100">
        <f>IF(D10=0,"",M10*1000000*AB10)</f>
        <v>96.939186655778002</v>
      </c>
      <c r="AE10" s="100">
        <f>IF(D10=0,"",H20)</f>
        <v>10821423.5768758</v>
      </c>
      <c r="AF10" s="100">
        <f>IF(D10=0,"",200000/2/1.3)</f>
        <v>76923.076923076893</v>
      </c>
    </row>
    <row r="11" spans="1:32" s="100" customFormat="1" ht="24.95" customHeight="1">
      <c r="A11" s="186">
        <v>2</v>
      </c>
      <c r="B11" s="427"/>
      <c r="C11" s="359" t="s">
        <v>636</v>
      </c>
      <c r="D11" s="187">
        <v>165.2</v>
      </c>
      <c r="E11" s="187">
        <v>3</v>
      </c>
      <c r="F11" s="187">
        <v>3</v>
      </c>
      <c r="G11" s="181">
        <f>IF(D11=0,"",E21)</f>
        <v>13.0567399899136</v>
      </c>
      <c r="H11" s="187">
        <v>420</v>
      </c>
      <c r="I11" s="181">
        <f>IF(D11=0,"",ROUND(IF(T11&lt;660/SQRT(H11/1.111),H11/1.111,(1-(SQRT((H11/1.111))*T11)*0.000448)*1.42*((H11/1.111))),0))</f>
        <v>378</v>
      </c>
      <c r="J11" s="198">
        <v>20.8</v>
      </c>
      <c r="K11" s="198">
        <v>0.7</v>
      </c>
      <c r="L11" s="187">
        <v>15</v>
      </c>
      <c r="M11" s="187">
        <v>10.199999999999999</v>
      </c>
      <c r="N11" s="181">
        <f>IF(D11=0,"",ROUND(SQRT((Y11+Z11)^2+3*(AC11+AD11)^2),0))</f>
        <v>331</v>
      </c>
      <c r="O11" s="199">
        <f>IF(D11=0,"",N11/I11)</f>
        <v>0.87566137566137603</v>
      </c>
      <c r="P11" s="187">
        <v>1000</v>
      </c>
      <c r="Q11" s="181">
        <f>IF(D11=0,"",ROUND(DEGREES(M11*1000000*P11/AF11/AE11),2))</f>
        <v>0.7</v>
      </c>
      <c r="R11" s="181">
        <f>IF(D11=0,"",ROUND(J11*1000000*P11^2/3/200000/W11,2))</f>
        <v>5.63</v>
      </c>
      <c r="S11" s="205"/>
      <c r="T11" s="100">
        <f>IF(D11=0,"",((D11-2*E11)*3.46/6-F11*2)/E11)</f>
        <v>28.601777777777802</v>
      </c>
      <c r="U11" s="100">
        <f>IF(D11=0,"",0.577*D11*SIN(RADIANS(30)))</f>
        <v>47.660200000000003</v>
      </c>
      <c r="V11" s="100">
        <f>IF(D11=0,"",D11/2)</f>
        <v>82.6</v>
      </c>
      <c r="W11" s="100">
        <f>IF(D11="","",F21)</f>
        <v>6153533.8126951801</v>
      </c>
      <c r="X11" s="100">
        <f>IF(D11="","",G21)</f>
        <v>5572458.5308545101</v>
      </c>
      <c r="Y11" s="100">
        <f>IF(D11=0,"",J11*1000000*V11/W11)</f>
        <v>279.20217102821101</v>
      </c>
      <c r="Z11" s="100">
        <f>IF(D11=0,"",K11*1000000*U11/X11)</f>
        <v>5.9869696320349499</v>
      </c>
      <c r="AA11" s="100">
        <f>IF(D11=0,"",0.618/(D11-E11)/E11)</f>
        <v>1.2700369913686801E-3</v>
      </c>
      <c r="AB11" s="100">
        <f>IF(D11=0,"",V11/AE11)</f>
        <v>7.6330068232896102E-6</v>
      </c>
      <c r="AC11" s="100">
        <f>IF(D11=0,"",L11*AA11*1000)</f>
        <v>19.050554870530199</v>
      </c>
      <c r="AD11" s="100">
        <f>IF(D11=0,"",M11*1000000*AB11)</f>
        <v>77.856669597554003</v>
      </c>
      <c r="AE11" s="100">
        <f>IF(D11=0,"",H21)</f>
        <v>10821423.5768758</v>
      </c>
      <c r="AF11" s="100">
        <f>IF(D11=0,"",200000/2/1.3)</f>
        <v>76923.076923076893</v>
      </c>
    </row>
    <row r="12" spans="1:32" s="100" customFormat="1" ht="24.95" customHeight="1">
      <c r="A12" s="186">
        <v>3</v>
      </c>
      <c r="B12" s="427"/>
      <c r="C12" s="359" t="s">
        <v>636</v>
      </c>
      <c r="D12" s="187">
        <v>141</v>
      </c>
      <c r="E12" s="187">
        <v>2.4</v>
      </c>
      <c r="F12" s="187">
        <v>3</v>
      </c>
      <c r="G12" s="181">
        <f>IF(D12=0,"",E22)</f>
        <v>8.9256577405982398</v>
      </c>
      <c r="H12" s="187">
        <v>420</v>
      </c>
      <c r="I12" s="181">
        <f>IF(D12=0,"",ROUND(IF(T12&lt;660/SQRT(H12/1.111),H12/1.111,(1-(SQRT((H12/1.111))*T12)*0.000448)*1.42*((H12/1.111))),0))</f>
        <v>378</v>
      </c>
      <c r="J12" s="198">
        <v>19</v>
      </c>
      <c r="K12" s="198">
        <v>0.8</v>
      </c>
      <c r="L12" s="187">
        <v>11</v>
      </c>
      <c r="M12" s="187"/>
      <c r="N12" s="181">
        <f>IF(D12=0,"",ROUND(SQRT((Y12+Z12)^2+3*(AC12+AD12)^2),0))</f>
        <v>449</v>
      </c>
      <c r="O12" s="199">
        <f>IF(D12=0,"",N12/I12)</f>
        <v>1.1878306878306899</v>
      </c>
      <c r="P12" s="187">
        <v>1000</v>
      </c>
      <c r="Q12" s="181">
        <f>IF(D12=0,"",ROUND(DEGREES(M12*1000000*P12/AF12/AE12),2))</f>
        <v>0</v>
      </c>
      <c r="R12" s="181">
        <f>IF(D12=0,"",ROUND(J12*1000000*P12^2/3/200000/W12,2))</f>
        <v>10.31</v>
      </c>
      <c r="S12" s="205"/>
      <c r="T12" s="100">
        <f>IF(D12=0,"",((D12-2*E12)*3.46/6-F12*2)/E12)</f>
        <v>30.225833333333298</v>
      </c>
      <c r="U12" s="100">
        <f>IF(D12=0,"",0.577*D12*SIN(RADIANS(30)))</f>
        <v>40.6785</v>
      </c>
      <c r="V12" s="100">
        <f>IF(D12=0,"",D12/2)</f>
        <v>70.5</v>
      </c>
      <c r="W12" s="100">
        <f>IF(D12="","",F22)</f>
        <v>3071473.0019019698</v>
      </c>
      <c r="X12" s="100">
        <f>IF(D12="","",G22)</f>
        <v>2781426.8158659101</v>
      </c>
      <c r="Y12" s="100">
        <f>IF(D12=0,"",J12*1000000*V12/W12)</f>
        <v>436.109970418275</v>
      </c>
      <c r="Z12" s="100">
        <f>IF(D12=0,"",K12*1000000*U12/X12)</f>
        <v>11.7000382013894</v>
      </c>
      <c r="AA12" s="100">
        <f>IF(D12=0,"",0.618/(D12-E12)/E12)</f>
        <v>1.85786435786436E-3</v>
      </c>
      <c r="AB12" s="100">
        <f>IF(D12=0,"",V12/AE12)</f>
        <v>1.30520158371323E-5</v>
      </c>
      <c r="AC12" s="100">
        <f>IF(D12=0,"",L12*AA12*1000)</f>
        <v>20.436507936507901</v>
      </c>
      <c r="AD12" s="100">
        <f>IF(D12=0,"",M12*1000000*AB12)</f>
        <v>0</v>
      </c>
      <c r="AE12" s="100">
        <f>IF(D12=0,"",H22)</f>
        <v>5401464.4848523103</v>
      </c>
      <c r="AF12" s="100">
        <f>IF(D12=0,"",200000/2/1.3)</f>
        <v>76923.076923076893</v>
      </c>
    </row>
    <row r="13" spans="1:32" s="100" customFormat="1" ht="24.95" customHeight="1">
      <c r="A13" s="188">
        <v>4</v>
      </c>
      <c r="B13" s="429"/>
      <c r="C13" s="360" t="s">
        <v>636</v>
      </c>
      <c r="D13" s="190"/>
      <c r="E13" s="190"/>
      <c r="F13" s="190"/>
      <c r="G13" s="189" t="str">
        <f>IF(D13=0,"",E23)</f>
        <v/>
      </c>
      <c r="H13" s="190"/>
      <c r="I13" s="189" t="str">
        <f>IF(D13=0,"",ROUND(IF(T13&lt;660/SQRT(H13/1.111),H13/1.111,(1-(SQRT((H13/1.111))*T13)*0.000448)*1.42*((H13/1.111))),0))</f>
        <v/>
      </c>
      <c r="J13" s="201"/>
      <c r="K13" s="201"/>
      <c r="L13" s="190"/>
      <c r="M13" s="190"/>
      <c r="N13" s="189" t="str">
        <f>IF(D13=0,"",ROUND(SQRT((Y13+Z13)^2+3*(AC13+AD13)^2),0))</f>
        <v/>
      </c>
      <c r="O13" s="202" t="str">
        <f>IF(D13=0,"",N13/I13)</f>
        <v/>
      </c>
      <c r="P13" s="190">
        <v>1000</v>
      </c>
      <c r="Q13" s="189" t="str">
        <f>IF(D13=0,"",ROUND(DEGREES(M13*1000000*P13/AF13/AE13),2))</f>
        <v/>
      </c>
      <c r="R13" s="189" t="str">
        <f>IF(D13=0,"",ROUND(J13*1000000*P13^2/3/200000/W13,2))</f>
        <v/>
      </c>
      <c r="S13" s="206"/>
      <c r="T13" s="100" t="str">
        <f>IF(D13=0,"",((D13-2*E13)*3.46/6-F13*2)/E13)</f>
        <v/>
      </c>
      <c r="U13" s="100" t="str">
        <f>IF(D13=0,"",0.577*D13*SIN(RADIANS(30)))</f>
        <v/>
      </c>
      <c r="V13" s="100" t="str">
        <f>IF(D13=0,"",D13/2)</f>
        <v/>
      </c>
      <c r="W13" s="100" t="str">
        <f>IF(D13="","",F23)</f>
        <v/>
      </c>
      <c r="X13" s="100" t="str">
        <f>IF(D13="","",G23)</f>
        <v/>
      </c>
      <c r="Y13" s="100" t="str">
        <f>IF(D13=0,"",J13*1000000*V13/W13)</f>
        <v/>
      </c>
      <c r="Z13" s="100" t="str">
        <f>IF(D13=0,"",K13*1000000*U13/X13)</f>
        <v/>
      </c>
      <c r="AA13" s="100" t="str">
        <f>IF(D13=0,"",0.618/(D13-E13)/E13)</f>
        <v/>
      </c>
      <c r="AB13" s="100" t="str">
        <f>IF(D13=0,"",V13/AE13)</f>
        <v/>
      </c>
      <c r="AC13" s="100" t="str">
        <f>IF(D13=0,"",L13*AA13*1000)</f>
        <v/>
      </c>
      <c r="AD13" s="100" t="str">
        <f>IF(D13=0,"",M13*1000000*AB13)</f>
        <v/>
      </c>
      <c r="AF13" s="100" t="str">
        <f>IF(D13=0,"",200000/2/1.3)</f>
        <v/>
      </c>
    </row>
    <row r="14" spans="1:32" s="100" customFormat="1" ht="24.95" customHeight="1">
      <c r="J14" s="203"/>
      <c r="K14" s="203"/>
      <c r="O14" s="182"/>
      <c r="P14" s="182"/>
      <c r="W14" s="207">
        <v>46953000</v>
      </c>
      <c r="X14" s="207">
        <v>42516000</v>
      </c>
      <c r="Y14" s="209"/>
      <c r="Z14" s="209"/>
      <c r="AE14" s="100">
        <f>8.654*10^7</f>
        <v>86540000</v>
      </c>
    </row>
    <row r="15" spans="1:32" s="100" customFormat="1" ht="24.95" customHeight="1">
      <c r="J15" s="203"/>
      <c r="K15" s="203"/>
      <c r="O15" s="182"/>
      <c r="P15" s="182"/>
      <c r="W15" s="207">
        <f>W14/W11</f>
        <v>7.6302497766620903</v>
      </c>
      <c r="X15" s="207">
        <f>X14/X11</f>
        <v>7.6296664685058504</v>
      </c>
      <c r="Y15" s="207">
        <f t="shared" ref="Y15:AD15" si="19">Y14/Y10</f>
        <v>0</v>
      </c>
      <c r="Z15" s="207">
        <f t="shared" si="19"/>
        <v>0</v>
      </c>
      <c r="AA15" s="207">
        <f t="shared" si="19"/>
        <v>0</v>
      </c>
      <c r="AB15" s="207">
        <f t="shared" si="19"/>
        <v>0</v>
      </c>
      <c r="AC15" s="207">
        <f t="shared" si="19"/>
        <v>0</v>
      </c>
      <c r="AD15" s="207">
        <f t="shared" si="19"/>
        <v>0</v>
      </c>
      <c r="AE15" s="207">
        <f>AE14/AE11</f>
        <v>7.9970994005748501</v>
      </c>
    </row>
    <row r="16" spans="1:32" ht="30.6" hidden="1" customHeight="1">
      <c r="S16" s="100"/>
      <c r="W16" s="100"/>
      <c r="X16" s="100"/>
    </row>
    <row r="17" spans="2:33" ht="30.6" hidden="1" customHeight="1">
      <c r="S17" s="100"/>
    </row>
    <row r="18" spans="2:33" ht="30.6" hidden="1" customHeight="1">
      <c r="B18" s="422" t="s">
        <v>637</v>
      </c>
      <c r="C18" s="423"/>
      <c r="D18" s="423"/>
      <c r="E18" s="423"/>
      <c r="F18" s="423"/>
      <c r="G18" s="423"/>
      <c r="H18" s="424"/>
      <c r="J18" s="1"/>
      <c r="K18" s="1"/>
      <c r="U18" s="425" t="s">
        <v>111</v>
      </c>
      <c r="V18" s="425"/>
      <c r="W18" s="425"/>
      <c r="X18" s="425"/>
      <c r="Y18" s="409" t="s">
        <v>112</v>
      </c>
      <c r="Z18" s="409"/>
      <c r="AA18" s="409"/>
      <c r="AB18" s="409"/>
      <c r="AD18" s="409" t="s">
        <v>113</v>
      </c>
      <c r="AE18" s="409"/>
    </row>
    <row r="19" spans="2:33" ht="44.25" hidden="1" customHeight="1">
      <c r="B19" s="191" t="s">
        <v>638</v>
      </c>
      <c r="C19" s="18" t="s">
        <v>639</v>
      </c>
      <c r="D19" s="192" t="s">
        <v>640</v>
      </c>
      <c r="E19" s="192" t="s">
        <v>641</v>
      </c>
      <c r="F19" s="192" t="s">
        <v>642</v>
      </c>
      <c r="G19" s="192" t="s">
        <v>643</v>
      </c>
      <c r="H19" s="193" t="s">
        <v>126</v>
      </c>
      <c r="J19" s="1" t="s">
        <v>127</v>
      </c>
      <c r="K19" s="1" t="s">
        <v>128</v>
      </c>
      <c r="L19" s="1" t="s">
        <v>129</v>
      </c>
      <c r="M19" s="1" t="s">
        <v>130</v>
      </c>
      <c r="N19" s="1" t="s">
        <v>131</v>
      </c>
      <c r="O19" s="1" t="s">
        <v>132</v>
      </c>
      <c r="P19" s="1" t="s">
        <v>133</v>
      </c>
      <c r="Q19" s="1" t="s">
        <v>134</v>
      </c>
      <c r="R19" s="1" t="s">
        <v>135</v>
      </c>
      <c r="S19" s="1" t="s">
        <v>136</v>
      </c>
      <c r="T19" s="1" t="s">
        <v>137</v>
      </c>
      <c r="U19" s="208" t="s">
        <v>138</v>
      </c>
      <c r="V19" s="208" t="s">
        <v>139</v>
      </c>
      <c r="W19" s="208" t="s">
        <v>140</v>
      </c>
      <c r="X19" s="208" t="s">
        <v>141</v>
      </c>
      <c r="Y19" s="210" t="s">
        <v>142</v>
      </c>
      <c r="Z19" s="210" t="s">
        <v>143</v>
      </c>
      <c r="AA19" s="210" t="s">
        <v>144</v>
      </c>
      <c r="AB19" s="210" t="s">
        <v>141</v>
      </c>
      <c r="AD19" s="1" t="s">
        <v>145</v>
      </c>
      <c r="AE19" s="1" t="s">
        <v>146</v>
      </c>
      <c r="AF19" s="1" t="s">
        <v>147</v>
      </c>
      <c r="AG19" s="1" t="s">
        <v>148</v>
      </c>
    </row>
    <row r="20" spans="2:33" ht="30.6" hidden="1" customHeight="1">
      <c r="B20" s="194">
        <f t="shared" ref="B20:C23" si="20">D10</f>
        <v>165.2</v>
      </c>
      <c r="C20" s="195">
        <f t="shared" si="20"/>
        <v>3</v>
      </c>
      <c r="D20" s="1">
        <f t="shared" ref="D20:D27" si="21">3.46*(B20-C20)*C20-2*(AF20*AD20*0.5-AE20*AG20*0.5)</f>
        <v>1663.27897960682</v>
      </c>
      <c r="E20" s="1">
        <f t="shared" ref="E20:E27" si="22">D20*0.00000785*1000</f>
        <v>13.0567399899136</v>
      </c>
      <c r="F20" s="1">
        <f>(U20+(J20*0.5)^2*R20)*2+(V20+X20^2*S20)*4+(W20)*2</f>
        <v>6153533.8126951801</v>
      </c>
      <c r="G20" s="1">
        <f>Y20*2+(Z20+AB20^2*S20)*4+(AA20+T20*(J20*0.5)^2)*2</f>
        <v>5572458.5308545101</v>
      </c>
      <c r="H20" s="56">
        <f t="shared" ref="H20:H27" si="23">(N20*C20*2+O20*C20*4+P20*C20*2)*(J20*0.5)^2</f>
        <v>10821423.5768758</v>
      </c>
      <c r="J20" s="1">
        <f t="shared" ref="J20:J27" si="24">B20-C20</f>
        <v>162.19999999999999</v>
      </c>
      <c r="K20" s="1">
        <f>360/6</f>
        <v>60</v>
      </c>
      <c r="L20" s="1">
        <v>45</v>
      </c>
      <c r="M20" s="1">
        <v>30</v>
      </c>
      <c r="N20" s="1">
        <f>2*(J20/2)*TAN(RADIANS(K20/2))</f>
        <v>93.646213662557301</v>
      </c>
      <c r="O20" s="1">
        <f>SQRT(N20^2+Q20^2-2*N20*Q20*COS(RADIANS(L20)))</f>
        <v>68.553786337442702</v>
      </c>
      <c r="P20" s="1">
        <f>2*(J20/2)*TAN(RADIANS(M20/2))</f>
        <v>43.461359012328103</v>
      </c>
      <c r="Q20" s="1">
        <f>P20/2/SIN(RADIANS(M20*0.5))</f>
        <v>83.960898231257701</v>
      </c>
      <c r="R20" s="1">
        <f t="shared" ref="R20:R27" si="25">N20*C20</f>
        <v>280.93864098767199</v>
      </c>
      <c r="S20" s="1">
        <f t="shared" ref="S20:S27" si="26">O20*C20</f>
        <v>205.66135901232801</v>
      </c>
      <c r="T20" s="1">
        <f t="shared" ref="T20:T27" si="27">P20*C20</f>
        <v>130.384077036984</v>
      </c>
      <c r="U20" s="208">
        <f t="shared" ref="U20:U27" si="28">C20^3*N20/12</f>
        <v>210.70398074075399</v>
      </c>
      <c r="V20" s="208">
        <f t="shared" ref="V20:V27" si="29">C20*O20*((O20^2*COS(RADIANS(M20))^2)+(C20^2*SIN(RADIANS(M20))^2))/12</f>
        <v>60446.722096043603</v>
      </c>
      <c r="W20" s="208">
        <f t="shared" ref="W20:W27" si="30">P20^3*C20/12</f>
        <v>20523.4286421178</v>
      </c>
      <c r="X20" s="208">
        <f>J20*0.5-O20*0.5*COS(RADIANS(M20))</f>
        <v>51.415339753082002</v>
      </c>
      <c r="Y20" s="210">
        <f t="shared" ref="Y20:Y27" si="31">N20^3*C20/12</f>
        <v>205310.270987836</v>
      </c>
      <c r="Z20" s="210">
        <f>C20*O20*((O20^2*COS(RADIANS(60))^2)+(C20^2*SIN(RADIANS(60))^2))/12</f>
        <v>20251.738044853999</v>
      </c>
      <c r="AA20" s="210">
        <f t="shared" ref="AA20:AA27" si="32">C20^3*P20/12</f>
        <v>97.788057777738203</v>
      </c>
      <c r="AB20" s="210">
        <f>N20*0.5+O20*0.5*COS(RADIANS(60))</f>
        <v>63.961553415639301</v>
      </c>
      <c r="AD20" s="1">
        <f t="shared" ref="AD20:AD27" si="33">B20*0.5/COS(RADIANS(30))-B20*0.5</f>
        <v>12.778264470126199</v>
      </c>
      <c r="AE20" s="1">
        <f t="shared" ref="AE20:AE27" si="34">(B20-C20)*0.5/COS(RADIANS(30))-J20*0.5</f>
        <v>12.5462136625573</v>
      </c>
      <c r="AF20" s="1">
        <f>2*AD20*TAN(RADIANS(60))</f>
        <v>44.2652065896214</v>
      </c>
      <c r="AG20" s="1">
        <f>2*AE20*TAN(RADIANS(60))</f>
        <v>43.461359012328103</v>
      </c>
    </row>
    <row r="21" spans="2:33" ht="30.6" hidden="1" customHeight="1">
      <c r="B21" s="194">
        <f t="shared" si="20"/>
        <v>165.2</v>
      </c>
      <c r="C21" s="195">
        <f t="shared" si="20"/>
        <v>3</v>
      </c>
      <c r="D21" s="1">
        <f t="shared" si="21"/>
        <v>1663.27897960682</v>
      </c>
      <c r="E21" s="1">
        <f t="shared" si="22"/>
        <v>13.0567399899136</v>
      </c>
      <c r="F21" s="1">
        <f t="shared" ref="F21:F27" si="35">(U21+(J21*0.5)^2*R21)*2+(V21+X21^2*S21)*4+(W21)*2</f>
        <v>6153533.8126951801</v>
      </c>
      <c r="G21" s="1">
        <f t="shared" ref="G21:G27" si="36">Y21*2+(Z21+AB21^2*S21)*4+(AA21+T21*(J21*0.5)^2)*2</f>
        <v>5572458.5308545101</v>
      </c>
      <c r="H21" s="56">
        <f t="shared" si="23"/>
        <v>10821423.5768758</v>
      </c>
      <c r="J21" s="1">
        <f t="shared" si="24"/>
        <v>162.19999999999999</v>
      </c>
      <c r="K21" s="1">
        <f t="shared" ref="K21:K27" si="37">360/6</f>
        <v>60</v>
      </c>
      <c r="L21" s="1">
        <v>45</v>
      </c>
      <c r="M21" s="1">
        <v>30</v>
      </c>
      <c r="N21" s="1">
        <f t="shared" ref="N21:N27" si="38">2*(J21/2)*TAN(RADIANS(K21/2))</f>
        <v>93.646213662557301</v>
      </c>
      <c r="O21" s="1">
        <f t="shared" ref="O21:O27" si="39">SQRT(N21^2+Q21^2-2*N21*Q21*COS(RADIANS(L21)))</f>
        <v>68.553786337442702</v>
      </c>
      <c r="P21" s="1">
        <f t="shared" ref="P21:P27" si="40">2*(J21/2)*TAN(RADIANS(M21/2))</f>
        <v>43.461359012328103</v>
      </c>
      <c r="Q21" s="1">
        <f t="shared" ref="Q21:Q27" si="41">P21/2/SIN(RADIANS(M21*0.5))</f>
        <v>83.960898231257701</v>
      </c>
      <c r="R21" s="1">
        <f t="shared" si="25"/>
        <v>280.93864098767199</v>
      </c>
      <c r="S21" s="1">
        <f t="shared" si="26"/>
        <v>205.66135901232801</v>
      </c>
      <c r="T21" s="1">
        <f t="shared" si="27"/>
        <v>130.384077036984</v>
      </c>
      <c r="U21" s="208">
        <f t="shared" si="28"/>
        <v>210.70398074075399</v>
      </c>
      <c r="V21" s="208">
        <f t="shared" si="29"/>
        <v>60446.722096043603</v>
      </c>
      <c r="W21" s="208">
        <f t="shared" si="30"/>
        <v>20523.4286421178</v>
      </c>
      <c r="X21" s="208">
        <f t="shared" ref="X21:X27" si="42">J21*0.5-O21*0.5*COS(RADIANS(M21))</f>
        <v>51.415339753082002</v>
      </c>
      <c r="Y21" s="210">
        <f t="shared" si="31"/>
        <v>205310.270987836</v>
      </c>
      <c r="Z21" s="210">
        <f t="shared" ref="Z21:Z27" si="43">C21*O21*((O21^2*SIN(RADIANS(M21))^2)+(C21^2*COS(RADIANS(M21))^2))/12</f>
        <v>20251.738044853999</v>
      </c>
      <c r="AA21" s="210">
        <f t="shared" si="32"/>
        <v>97.788057777738203</v>
      </c>
      <c r="AB21" s="210">
        <f t="shared" ref="AB21:AB27" si="44">N21*0.5+O21*0.5*COS(RADIANS(60))</f>
        <v>63.961553415639301</v>
      </c>
      <c r="AD21" s="1">
        <f t="shared" si="33"/>
        <v>12.778264470126199</v>
      </c>
      <c r="AE21" s="1">
        <f t="shared" si="34"/>
        <v>12.5462136625573</v>
      </c>
      <c r="AF21" s="1">
        <f t="shared" ref="AF21:AG27" si="45">2*AD21*TAN(RADIANS(60))</f>
        <v>44.2652065896214</v>
      </c>
      <c r="AG21" s="1">
        <f t="shared" si="45"/>
        <v>43.461359012328103</v>
      </c>
    </row>
    <row r="22" spans="2:33" ht="24" hidden="1" customHeight="1">
      <c r="B22" s="194">
        <f t="shared" si="20"/>
        <v>141</v>
      </c>
      <c r="C22" s="195">
        <f t="shared" si="20"/>
        <v>2.4</v>
      </c>
      <c r="D22" s="1">
        <f t="shared" si="21"/>
        <v>1137.0264637704799</v>
      </c>
      <c r="E22" s="1">
        <f t="shared" si="22"/>
        <v>8.9256577405982398</v>
      </c>
      <c r="F22" s="1">
        <f t="shared" si="35"/>
        <v>3071473.0019019698</v>
      </c>
      <c r="G22" s="1">
        <f t="shared" si="36"/>
        <v>2781426.8158659101</v>
      </c>
      <c r="H22" s="56">
        <f t="shared" si="23"/>
        <v>5401464.4848523103</v>
      </c>
      <c r="J22" s="1">
        <f t="shared" si="24"/>
        <v>138.6</v>
      </c>
      <c r="K22" s="1">
        <f t="shared" si="37"/>
        <v>60</v>
      </c>
      <c r="L22" s="1">
        <v>45</v>
      </c>
      <c r="M22" s="1">
        <v>30</v>
      </c>
      <c r="N22" s="1">
        <f t="shared" si="38"/>
        <v>80.020747309682093</v>
      </c>
      <c r="O22" s="1">
        <f t="shared" si="39"/>
        <v>58.579252690317901</v>
      </c>
      <c r="P22" s="1">
        <f t="shared" si="40"/>
        <v>37.137758070953602</v>
      </c>
      <c r="Q22" s="1">
        <f t="shared" si="41"/>
        <v>71.744639302418705</v>
      </c>
      <c r="R22" s="1">
        <f t="shared" si="25"/>
        <v>192.049793543237</v>
      </c>
      <c r="S22" s="1">
        <f t="shared" si="26"/>
        <v>140.59020645676301</v>
      </c>
      <c r="T22" s="1">
        <f t="shared" si="27"/>
        <v>89.130619370288599</v>
      </c>
      <c r="U22" s="208">
        <f t="shared" si="28"/>
        <v>92.183900900753798</v>
      </c>
      <c r="V22" s="208">
        <f t="shared" si="29"/>
        <v>30169.330130224102</v>
      </c>
      <c r="W22" s="208">
        <f t="shared" si="30"/>
        <v>10244.176298087899</v>
      </c>
      <c r="X22" s="208">
        <f t="shared" si="42"/>
        <v>43.934439517738397</v>
      </c>
      <c r="Y22" s="210">
        <f t="shared" si="31"/>
        <v>102479.690332607</v>
      </c>
      <c r="Z22" s="210">
        <f t="shared" si="43"/>
        <v>10101.432242807499</v>
      </c>
      <c r="AA22" s="210">
        <f t="shared" si="32"/>
        <v>42.782697297738501</v>
      </c>
      <c r="AB22" s="210">
        <f t="shared" si="44"/>
        <v>54.655186827420501</v>
      </c>
      <c r="AD22" s="1">
        <f t="shared" si="33"/>
        <v>10.9063879557372</v>
      </c>
      <c r="AE22" s="1">
        <f t="shared" si="34"/>
        <v>10.7207473096821</v>
      </c>
      <c r="AF22" s="1">
        <f t="shared" si="45"/>
        <v>37.780836132788302</v>
      </c>
      <c r="AG22" s="1">
        <f t="shared" si="45"/>
        <v>37.137758070953602</v>
      </c>
    </row>
    <row r="23" spans="2:33" ht="24" hidden="1" customHeight="1">
      <c r="B23" s="194">
        <f t="shared" si="20"/>
        <v>0</v>
      </c>
      <c r="C23" s="195">
        <f t="shared" si="20"/>
        <v>0</v>
      </c>
      <c r="D23" s="1">
        <f t="shared" si="21"/>
        <v>0</v>
      </c>
      <c r="E23" s="1">
        <f t="shared" si="22"/>
        <v>0</v>
      </c>
      <c r="F23" s="1">
        <f t="shared" si="35"/>
        <v>0</v>
      </c>
      <c r="G23" s="1">
        <f t="shared" si="36"/>
        <v>0</v>
      </c>
      <c r="H23" s="56">
        <f t="shared" si="23"/>
        <v>0</v>
      </c>
      <c r="J23" s="1">
        <f t="shared" si="24"/>
        <v>0</v>
      </c>
      <c r="K23" s="1">
        <f t="shared" si="37"/>
        <v>60</v>
      </c>
      <c r="L23" s="1">
        <v>45</v>
      </c>
      <c r="M23" s="1">
        <v>30</v>
      </c>
      <c r="N23" s="1">
        <f t="shared" si="38"/>
        <v>0</v>
      </c>
      <c r="O23" s="1">
        <f t="shared" si="39"/>
        <v>0</v>
      </c>
      <c r="P23" s="1">
        <f t="shared" si="40"/>
        <v>0</v>
      </c>
      <c r="Q23" s="1">
        <f t="shared" si="41"/>
        <v>0</v>
      </c>
      <c r="R23" s="1">
        <f t="shared" si="25"/>
        <v>0</v>
      </c>
      <c r="S23" s="1">
        <f t="shared" si="26"/>
        <v>0</v>
      </c>
      <c r="T23" s="1">
        <f t="shared" si="27"/>
        <v>0</v>
      </c>
      <c r="U23" s="208">
        <f t="shared" si="28"/>
        <v>0</v>
      </c>
      <c r="V23" s="208">
        <f t="shared" si="29"/>
        <v>0</v>
      </c>
      <c r="W23" s="208">
        <f t="shared" si="30"/>
        <v>0</v>
      </c>
      <c r="X23" s="208">
        <f t="shared" si="42"/>
        <v>0</v>
      </c>
      <c r="Y23" s="210">
        <f t="shared" si="31"/>
        <v>0</v>
      </c>
      <c r="Z23" s="210">
        <f t="shared" si="43"/>
        <v>0</v>
      </c>
      <c r="AA23" s="210">
        <f t="shared" si="32"/>
        <v>0</v>
      </c>
      <c r="AB23" s="210">
        <f t="shared" si="44"/>
        <v>0</v>
      </c>
      <c r="AD23" s="1">
        <f t="shared" si="33"/>
        <v>0</v>
      </c>
      <c r="AE23" s="1">
        <f t="shared" si="34"/>
        <v>0</v>
      </c>
      <c r="AF23" s="1">
        <f t="shared" si="45"/>
        <v>0</v>
      </c>
      <c r="AG23" s="1">
        <f t="shared" si="45"/>
        <v>0</v>
      </c>
    </row>
    <row r="24" spans="2:33" ht="24" hidden="1" customHeight="1">
      <c r="B24" s="194"/>
      <c r="C24" s="195"/>
      <c r="D24" s="1">
        <f t="shared" si="21"/>
        <v>0</v>
      </c>
      <c r="E24" s="1">
        <f t="shared" si="22"/>
        <v>0</v>
      </c>
      <c r="F24" s="1">
        <f t="shared" si="35"/>
        <v>0</v>
      </c>
      <c r="G24" s="1">
        <f t="shared" si="36"/>
        <v>0</v>
      </c>
      <c r="H24" s="56">
        <f t="shared" si="23"/>
        <v>0</v>
      </c>
      <c r="J24" s="1">
        <f t="shared" si="24"/>
        <v>0</v>
      </c>
      <c r="K24" s="1">
        <f t="shared" si="37"/>
        <v>60</v>
      </c>
      <c r="L24" s="1">
        <v>45</v>
      </c>
      <c r="M24" s="1">
        <v>30</v>
      </c>
      <c r="N24" s="1">
        <f t="shared" si="38"/>
        <v>0</v>
      </c>
      <c r="O24" s="1">
        <f t="shared" si="39"/>
        <v>0</v>
      </c>
      <c r="P24" s="1">
        <f t="shared" si="40"/>
        <v>0</v>
      </c>
      <c r="Q24" s="1">
        <f t="shared" si="41"/>
        <v>0</v>
      </c>
      <c r="R24" s="1">
        <f t="shared" si="25"/>
        <v>0</v>
      </c>
      <c r="S24" s="1">
        <f t="shared" si="26"/>
        <v>0</v>
      </c>
      <c r="T24" s="1">
        <f t="shared" si="27"/>
        <v>0</v>
      </c>
      <c r="U24" s="208">
        <f t="shared" si="28"/>
        <v>0</v>
      </c>
      <c r="V24" s="208">
        <f t="shared" si="29"/>
        <v>0</v>
      </c>
      <c r="W24" s="208">
        <f t="shared" si="30"/>
        <v>0</v>
      </c>
      <c r="X24" s="208">
        <f t="shared" si="42"/>
        <v>0</v>
      </c>
      <c r="Y24" s="210">
        <f t="shared" si="31"/>
        <v>0</v>
      </c>
      <c r="Z24" s="210">
        <f t="shared" si="43"/>
        <v>0</v>
      </c>
      <c r="AA24" s="210">
        <f t="shared" si="32"/>
        <v>0</v>
      </c>
      <c r="AB24" s="210">
        <f t="shared" si="44"/>
        <v>0</v>
      </c>
      <c r="AD24" s="1">
        <f t="shared" si="33"/>
        <v>0</v>
      </c>
      <c r="AE24" s="1">
        <f t="shared" si="34"/>
        <v>0</v>
      </c>
      <c r="AF24" s="1">
        <f t="shared" si="45"/>
        <v>0</v>
      </c>
      <c r="AG24" s="1">
        <f t="shared" si="45"/>
        <v>0</v>
      </c>
    </row>
    <row r="25" spans="2:33" ht="24" hidden="1" customHeight="1">
      <c r="B25" s="194"/>
      <c r="C25" s="195"/>
      <c r="D25" s="1">
        <f t="shared" si="21"/>
        <v>0</v>
      </c>
      <c r="E25" s="1">
        <f t="shared" si="22"/>
        <v>0</v>
      </c>
      <c r="F25" s="1">
        <f t="shared" si="35"/>
        <v>0</v>
      </c>
      <c r="G25" s="1">
        <f t="shared" si="36"/>
        <v>0</v>
      </c>
      <c r="H25" s="56">
        <f t="shared" si="23"/>
        <v>0</v>
      </c>
      <c r="J25" s="1">
        <f t="shared" si="24"/>
        <v>0</v>
      </c>
      <c r="K25" s="1">
        <f t="shared" si="37"/>
        <v>60</v>
      </c>
      <c r="L25" s="1">
        <v>45</v>
      </c>
      <c r="M25" s="1">
        <v>30</v>
      </c>
      <c r="N25" s="1">
        <f t="shared" si="38"/>
        <v>0</v>
      </c>
      <c r="O25" s="1">
        <f t="shared" si="39"/>
        <v>0</v>
      </c>
      <c r="P25" s="1">
        <f t="shared" si="40"/>
        <v>0</v>
      </c>
      <c r="Q25" s="1">
        <f t="shared" si="41"/>
        <v>0</v>
      </c>
      <c r="R25" s="1">
        <f t="shared" si="25"/>
        <v>0</v>
      </c>
      <c r="S25" s="1">
        <f t="shared" si="26"/>
        <v>0</v>
      </c>
      <c r="T25" s="1">
        <f t="shared" si="27"/>
        <v>0</v>
      </c>
      <c r="U25" s="208">
        <f t="shared" si="28"/>
        <v>0</v>
      </c>
      <c r="V25" s="208">
        <f t="shared" si="29"/>
        <v>0</v>
      </c>
      <c r="W25" s="208">
        <f t="shared" si="30"/>
        <v>0</v>
      </c>
      <c r="X25" s="208">
        <f t="shared" si="42"/>
        <v>0</v>
      </c>
      <c r="Y25" s="210">
        <f t="shared" si="31"/>
        <v>0</v>
      </c>
      <c r="Z25" s="210">
        <f t="shared" si="43"/>
        <v>0</v>
      </c>
      <c r="AA25" s="210">
        <f t="shared" si="32"/>
        <v>0</v>
      </c>
      <c r="AB25" s="210">
        <f t="shared" si="44"/>
        <v>0</v>
      </c>
      <c r="AD25" s="1">
        <f t="shared" si="33"/>
        <v>0</v>
      </c>
      <c r="AE25" s="1">
        <f t="shared" si="34"/>
        <v>0</v>
      </c>
      <c r="AF25" s="1">
        <f t="shared" si="45"/>
        <v>0</v>
      </c>
      <c r="AG25" s="1">
        <f t="shared" si="45"/>
        <v>0</v>
      </c>
    </row>
    <row r="26" spans="2:33" ht="24" hidden="1" customHeight="1">
      <c r="B26" s="194"/>
      <c r="C26" s="195"/>
      <c r="D26" s="1">
        <f t="shared" si="21"/>
        <v>0</v>
      </c>
      <c r="E26" s="1">
        <f t="shared" si="22"/>
        <v>0</v>
      </c>
      <c r="F26" s="1">
        <f t="shared" si="35"/>
        <v>0</v>
      </c>
      <c r="G26" s="1">
        <f t="shared" si="36"/>
        <v>0</v>
      </c>
      <c r="H26" s="56">
        <f t="shared" si="23"/>
        <v>0</v>
      </c>
      <c r="J26" s="1">
        <f t="shared" si="24"/>
        <v>0</v>
      </c>
      <c r="K26" s="1">
        <f t="shared" si="37"/>
        <v>60</v>
      </c>
      <c r="L26" s="1">
        <v>45</v>
      </c>
      <c r="M26" s="1">
        <v>30</v>
      </c>
      <c r="N26" s="1">
        <f t="shared" si="38"/>
        <v>0</v>
      </c>
      <c r="O26" s="1">
        <f t="shared" si="39"/>
        <v>0</v>
      </c>
      <c r="P26" s="1">
        <f t="shared" si="40"/>
        <v>0</v>
      </c>
      <c r="Q26" s="1">
        <f t="shared" si="41"/>
        <v>0</v>
      </c>
      <c r="R26" s="1">
        <f t="shared" si="25"/>
        <v>0</v>
      </c>
      <c r="S26" s="1">
        <f t="shared" si="26"/>
        <v>0</v>
      </c>
      <c r="T26" s="1">
        <f t="shared" si="27"/>
        <v>0</v>
      </c>
      <c r="U26" s="208">
        <f t="shared" si="28"/>
        <v>0</v>
      </c>
      <c r="V26" s="208">
        <f t="shared" si="29"/>
        <v>0</v>
      </c>
      <c r="W26" s="208">
        <f t="shared" si="30"/>
        <v>0</v>
      </c>
      <c r="X26" s="208">
        <f t="shared" si="42"/>
        <v>0</v>
      </c>
      <c r="Y26" s="210">
        <f t="shared" si="31"/>
        <v>0</v>
      </c>
      <c r="Z26" s="210">
        <f t="shared" si="43"/>
        <v>0</v>
      </c>
      <c r="AA26" s="210">
        <f t="shared" si="32"/>
        <v>0</v>
      </c>
      <c r="AB26" s="210">
        <f t="shared" si="44"/>
        <v>0</v>
      </c>
      <c r="AD26" s="1">
        <f t="shared" si="33"/>
        <v>0</v>
      </c>
      <c r="AE26" s="1">
        <f t="shared" si="34"/>
        <v>0</v>
      </c>
      <c r="AF26" s="1">
        <f t="shared" si="45"/>
        <v>0</v>
      </c>
      <c r="AG26" s="1">
        <f t="shared" si="45"/>
        <v>0</v>
      </c>
    </row>
    <row r="27" spans="2:33" ht="24" hidden="1" customHeight="1">
      <c r="B27" s="196"/>
      <c r="C27" s="197"/>
      <c r="D27" s="46">
        <f t="shared" si="21"/>
        <v>0</v>
      </c>
      <c r="E27" s="46">
        <f t="shared" si="22"/>
        <v>0</v>
      </c>
      <c r="F27" s="46">
        <f t="shared" si="35"/>
        <v>0</v>
      </c>
      <c r="G27" s="46">
        <f t="shared" si="36"/>
        <v>0</v>
      </c>
      <c r="H27" s="65">
        <f t="shared" si="23"/>
        <v>0</v>
      </c>
      <c r="J27" s="1">
        <f t="shared" si="24"/>
        <v>0</v>
      </c>
      <c r="K27" s="1">
        <f t="shared" si="37"/>
        <v>60</v>
      </c>
      <c r="L27" s="1">
        <v>45</v>
      </c>
      <c r="M27" s="1">
        <v>30</v>
      </c>
      <c r="N27" s="1">
        <f t="shared" si="38"/>
        <v>0</v>
      </c>
      <c r="O27" s="1">
        <f t="shared" si="39"/>
        <v>0</v>
      </c>
      <c r="P27" s="1">
        <f t="shared" si="40"/>
        <v>0</v>
      </c>
      <c r="Q27" s="1">
        <f t="shared" si="41"/>
        <v>0</v>
      </c>
      <c r="R27" s="1">
        <f t="shared" si="25"/>
        <v>0</v>
      </c>
      <c r="S27" s="1">
        <f t="shared" si="26"/>
        <v>0</v>
      </c>
      <c r="T27" s="1">
        <f t="shared" si="27"/>
        <v>0</v>
      </c>
      <c r="U27" s="208">
        <f t="shared" si="28"/>
        <v>0</v>
      </c>
      <c r="V27" s="208">
        <f t="shared" si="29"/>
        <v>0</v>
      </c>
      <c r="W27" s="208">
        <f t="shared" si="30"/>
        <v>0</v>
      </c>
      <c r="X27" s="208">
        <f t="shared" si="42"/>
        <v>0</v>
      </c>
      <c r="Y27" s="210">
        <f t="shared" si="31"/>
        <v>0</v>
      </c>
      <c r="Z27" s="210">
        <f t="shared" si="43"/>
        <v>0</v>
      </c>
      <c r="AA27" s="210">
        <f t="shared" si="32"/>
        <v>0</v>
      </c>
      <c r="AB27" s="210">
        <f t="shared" si="44"/>
        <v>0</v>
      </c>
      <c r="AD27" s="1">
        <f t="shared" si="33"/>
        <v>0</v>
      </c>
      <c r="AE27" s="1">
        <f t="shared" si="34"/>
        <v>0</v>
      </c>
      <c r="AF27" s="1">
        <f t="shared" si="45"/>
        <v>0</v>
      </c>
      <c r="AG27" s="1">
        <f t="shared" si="45"/>
        <v>0</v>
      </c>
    </row>
    <row r="28" spans="2:33" ht="24" hidden="1" customHeight="1">
      <c r="S28" s="100"/>
    </row>
    <row r="29" spans="2:33" ht="24" hidden="1" customHeight="1">
      <c r="S29" s="100"/>
    </row>
    <row r="30" spans="2:33" ht="24" hidden="1" customHeight="1">
      <c r="S30" s="100"/>
    </row>
    <row r="31" spans="2:33" ht="24" hidden="1" customHeight="1">
      <c r="S31" s="100"/>
    </row>
    <row r="32" spans="2:33" ht="24" hidden="1" customHeight="1">
      <c r="S32" s="100"/>
    </row>
    <row r="33" spans="19:19" ht="24" hidden="1" customHeight="1">
      <c r="S33" s="100"/>
    </row>
    <row r="34" spans="19:19" ht="24" hidden="1" customHeight="1">
      <c r="S34" s="100"/>
    </row>
    <row r="35" spans="19:19" ht="24" hidden="1" customHeight="1">
      <c r="S35" s="100"/>
    </row>
    <row r="36" spans="19:19" ht="24" hidden="1" customHeight="1">
      <c r="S36" s="100"/>
    </row>
    <row r="37" spans="19:19" ht="24" customHeight="1">
      <c r="S37" s="100"/>
    </row>
    <row r="38" spans="19:19" ht="24" customHeight="1">
      <c r="S38" s="100"/>
    </row>
    <row r="39" spans="19:19" ht="24" customHeight="1">
      <c r="S39" s="100"/>
    </row>
    <row r="40" spans="19:19" ht="24" customHeight="1">
      <c r="S40" s="100"/>
    </row>
    <row r="41" spans="19:19" ht="24" customHeight="1">
      <c r="S41" s="100"/>
    </row>
    <row r="42" spans="19:19" ht="24" customHeight="1">
      <c r="S42" s="100"/>
    </row>
    <row r="43" spans="19:19" ht="24" customHeight="1">
      <c r="S43" s="100"/>
    </row>
    <row r="44" spans="19:19" ht="24" customHeight="1">
      <c r="S44" s="100"/>
    </row>
  </sheetData>
  <sheetProtection password="CE28" sheet="1" objects="1" scenarios="1"/>
  <mergeCells count="7">
    <mergeCell ref="A1:S1"/>
    <mergeCell ref="B18:H18"/>
    <mergeCell ref="U18:X18"/>
    <mergeCell ref="Y18:AB18"/>
    <mergeCell ref="AD18:AE18"/>
    <mergeCell ref="B3:B8"/>
    <mergeCell ref="B10:B13"/>
  </mergeCells>
  <phoneticPr fontId="80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J158"/>
  <sheetViews>
    <sheetView showGridLines="0" topLeftCell="A2" zoomScale="145" zoomScaleNormal="145" workbookViewId="0">
      <selection activeCell="E31" sqref="E31"/>
    </sheetView>
  </sheetViews>
  <sheetFormatPr defaultColWidth="9" defaultRowHeight="14.25"/>
  <cols>
    <col min="1" max="2" width="9" style="1"/>
    <col min="3" max="3" width="18.125" style="1" customWidth="1"/>
    <col min="4" max="4" width="14.25" style="1" customWidth="1"/>
    <col min="5" max="8" width="9" style="1"/>
    <col min="9" max="10" width="9" style="1" customWidth="1"/>
    <col min="11" max="11" width="13.25" style="1" customWidth="1"/>
    <col min="12" max="13" width="9" style="1" customWidth="1"/>
    <col min="14" max="14" width="12.75" style="1" customWidth="1"/>
    <col min="15" max="49" width="9" style="1" customWidth="1"/>
    <col min="50" max="50" width="9.375" style="1" customWidth="1"/>
    <col min="51" max="54" width="9" style="1" customWidth="1"/>
    <col min="55" max="55" width="9.375" style="1" customWidth="1"/>
    <col min="56" max="67" width="9" style="1" customWidth="1"/>
    <col min="68" max="16384" width="9" style="1"/>
  </cols>
  <sheetData>
    <row r="1" spans="1:23" ht="23.25">
      <c r="A1" s="362" t="s">
        <v>644</v>
      </c>
      <c r="B1" s="362"/>
      <c r="C1" s="362"/>
      <c r="D1" s="362"/>
      <c r="E1" s="362"/>
      <c r="F1" s="362"/>
      <c r="G1" s="362"/>
      <c r="H1" s="362"/>
      <c r="Q1" s="1" t="s">
        <v>645</v>
      </c>
      <c r="R1" s="1" t="s">
        <v>646</v>
      </c>
    </row>
    <row r="2" spans="1:23" s="100" customFormat="1" ht="18.75" customHeight="1"/>
    <row r="3" spans="1:23" s="100" customFormat="1" ht="12.75">
      <c r="A3" s="100" t="s">
        <v>66</v>
      </c>
    </row>
    <row r="4" spans="1:23" s="100" customFormat="1" ht="12.75">
      <c r="C4" s="100" t="s">
        <v>647</v>
      </c>
      <c r="D4" s="151">
        <v>0.32</v>
      </c>
      <c r="E4" s="107" t="s">
        <v>339</v>
      </c>
      <c r="I4" s="175"/>
      <c r="J4" s="175"/>
      <c r="K4" s="176" t="s">
        <v>648</v>
      </c>
      <c r="L4" s="175"/>
      <c r="M4" s="175"/>
      <c r="N4" s="175"/>
      <c r="O4" s="175"/>
      <c r="S4" s="363" t="s">
        <v>649</v>
      </c>
      <c r="T4" s="363"/>
      <c r="U4" s="363"/>
      <c r="V4" s="363"/>
      <c r="W4" s="363"/>
    </row>
    <row r="5" spans="1:23" s="100" customFormat="1" ht="12.75">
      <c r="C5" s="100" t="s">
        <v>650</v>
      </c>
      <c r="D5" s="151">
        <v>0.2</v>
      </c>
      <c r="E5" s="107" t="s">
        <v>339</v>
      </c>
      <c r="I5" s="175"/>
      <c r="J5" s="175"/>
      <c r="K5" s="177" t="s">
        <v>651</v>
      </c>
      <c r="L5" s="177" t="s">
        <v>652</v>
      </c>
      <c r="M5" s="175" t="s">
        <v>91</v>
      </c>
      <c r="N5" s="175" t="s">
        <v>18</v>
      </c>
      <c r="O5" s="175"/>
      <c r="S5" s="181">
        <v>15</v>
      </c>
      <c r="T5" s="181">
        <v>20</v>
      </c>
      <c r="U5" s="181">
        <v>30</v>
      </c>
      <c r="V5" s="181">
        <v>40</v>
      </c>
      <c r="W5" s="181">
        <v>55</v>
      </c>
    </row>
    <row r="6" spans="1:23" s="100" customFormat="1">
      <c r="C6" s="100" t="s">
        <v>653</v>
      </c>
      <c r="D6" s="151">
        <v>20</v>
      </c>
      <c r="E6" s="174">
        <v>0</v>
      </c>
      <c r="I6" s="175"/>
      <c r="J6" s="175"/>
      <c r="K6" s="177" t="s">
        <v>654</v>
      </c>
      <c r="L6" s="178">
        <v>0.85</v>
      </c>
      <c r="M6" s="175">
        <v>1.8</v>
      </c>
      <c r="N6" s="175">
        <v>1.4</v>
      </c>
      <c r="O6" s="175"/>
      <c r="S6" s="181">
        <v>0.8</v>
      </c>
      <c r="T6" s="181">
        <v>0.85</v>
      </c>
      <c r="U6" s="181">
        <v>1</v>
      </c>
      <c r="V6" s="181">
        <v>1.3</v>
      </c>
      <c r="W6" s="181">
        <v>1.3</v>
      </c>
    </row>
    <row r="7" spans="1:23" s="100" customFormat="1" ht="12.75">
      <c r="C7" s="100" t="s">
        <v>655</v>
      </c>
      <c r="D7" s="151">
        <v>21.7</v>
      </c>
      <c r="E7" s="107" t="s">
        <v>36</v>
      </c>
      <c r="I7" s="175"/>
      <c r="J7" s="175"/>
      <c r="K7" s="177" t="s">
        <v>656</v>
      </c>
      <c r="L7" s="178">
        <v>-1</v>
      </c>
      <c r="M7" s="175">
        <v>-1.6</v>
      </c>
      <c r="N7" s="175">
        <v>-1.5</v>
      </c>
      <c r="O7" s="175"/>
      <c r="S7" s="181">
        <v>-0.95</v>
      </c>
      <c r="T7" s="181">
        <v>-1</v>
      </c>
      <c r="U7" s="181">
        <v>-1.3</v>
      </c>
      <c r="V7" s="181">
        <v>-1.6</v>
      </c>
      <c r="W7" s="181">
        <v>-1.6</v>
      </c>
    </row>
    <row r="8" spans="1:23" s="100" customFormat="1" ht="12.75">
      <c r="C8" s="100" t="s">
        <v>657</v>
      </c>
      <c r="D8" s="151">
        <v>0</v>
      </c>
      <c r="E8" s="107"/>
      <c r="I8" s="175"/>
      <c r="J8" s="175" t="s">
        <v>654</v>
      </c>
      <c r="K8" s="175"/>
      <c r="L8" s="175"/>
      <c r="M8" s="175" t="s">
        <v>656</v>
      </c>
      <c r="N8" s="175"/>
      <c r="O8" s="175"/>
    </row>
    <row r="9" spans="1:23" s="100" customFormat="1" ht="12.75">
      <c r="C9" s="100" t="s">
        <v>517</v>
      </c>
      <c r="D9" s="151">
        <v>1.1339999999999999</v>
      </c>
      <c r="E9" s="107" t="s">
        <v>36</v>
      </c>
      <c r="I9" s="175" t="s">
        <v>91</v>
      </c>
      <c r="J9" s="364" t="s">
        <v>658</v>
      </c>
      <c r="K9" s="364"/>
      <c r="L9" s="364"/>
      <c r="M9" s="364" t="s">
        <v>658</v>
      </c>
      <c r="N9" s="364"/>
      <c r="O9" s="364"/>
    </row>
    <row r="10" spans="1:23" s="100" customFormat="1" ht="12.75">
      <c r="C10" s="100" t="s">
        <v>659</v>
      </c>
      <c r="D10" s="151">
        <v>2.278</v>
      </c>
      <c r="E10" s="107" t="s">
        <v>36</v>
      </c>
      <c r="I10" s="175"/>
      <c r="J10" s="178">
        <v>22.5</v>
      </c>
      <c r="K10" s="178">
        <v>30</v>
      </c>
      <c r="L10" s="178">
        <v>25</v>
      </c>
      <c r="M10" s="178">
        <v>22.5</v>
      </c>
      <c r="N10" s="178">
        <v>30</v>
      </c>
      <c r="O10" s="178">
        <v>25</v>
      </c>
    </row>
    <row r="11" spans="1:23" s="100" customFormat="1" ht="12.75">
      <c r="C11" s="100" t="s">
        <v>660</v>
      </c>
      <c r="D11" s="151">
        <v>26.9</v>
      </c>
      <c r="E11" s="107" t="s">
        <v>661</v>
      </c>
      <c r="I11" s="175"/>
      <c r="J11" s="178">
        <v>1.75</v>
      </c>
      <c r="K11" s="178">
        <v>2.1</v>
      </c>
      <c r="L11" s="179">
        <f>TREND(J11:K11,J10:K10,L10)</f>
        <v>1.86666666666667</v>
      </c>
      <c r="M11" s="178">
        <v>1.55</v>
      </c>
      <c r="N11" s="178">
        <v>1.8</v>
      </c>
      <c r="O11" s="179">
        <f>TREND(M11:N11,M10:N10,O10)</f>
        <v>1.63333333333333</v>
      </c>
    </row>
    <row r="12" spans="1:23" s="100" customFormat="1" ht="12.75">
      <c r="C12" s="100" t="s">
        <v>662</v>
      </c>
      <c r="D12" s="100">
        <f>D9*D10</f>
        <v>2.5832519999999999</v>
      </c>
      <c r="E12" s="107" t="s">
        <v>100</v>
      </c>
      <c r="I12" s="175"/>
      <c r="J12" s="175"/>
      <c r="K12" s="175"/>
      <c r="L12" s="175"/>
      <c r="M12" s="175"/>
      <c r="N12" s="175"/>
      <c r="O12" s="175"/>
    </row>
    <row r="13" spans="1:23" s="100" customFormat="1" ht="12.75">
      <c r="A13" s="107" t="s">
        <v>663</v>
      </c>
      <c r="B13" s="107"/>
      <c r="C13" s="107"/>
      <c r="D13" s="107"/>
      <c r="E13" s="107"/>
      <c r="F13" s="107"/>
      <c r="G13" s="107"/>
      <c r="H13" s="107"/>
      <c r="I13" s="175" t="s">
        <v>18</v>
      </c>
      <c r="J13" s="364" t="s">
        <v>658</v>
      </c>
      <c r="K13" s="364"/>
      <c r="L13" s="364"/>
      <c r="M13" s="364" t="s">
        <v>658</v>
      </c>
      <c r="N13" s="364"/>
      <c r="O13" s="364"/>
    </row>
    <row r="14" spans="1:23" s="100" customFormat="1" ht="12.75">
      <c r="A14" s="103"/>
      <c r="B14" s="103"/>
      <c r="C14" s="100" t="s">
        <v>664</v>
      </c>
      <c r="D14" s="151" t="s">
        <v>253</v>
      </c>
      <c r="E14" s="103"/>
      <c r="F14" s="103"/>
      <c r="G14" s="103"/>
      <c r="H14" s="103"/>
      <c r="I14" s="175"/>
      <c r="J14" s="178">
        <v>22.5</v>
      </c>
      <c r="K14" s="178">
        <v>30</v>
      </c>
      <c r="L14" s="178">
        <v>25</v>
      </c>
      <c r="M14" s="178">
        <v>22.5</v>
      </c>
      <c r="N14" s="178">
        <v>30</v>
      </c>
      <c r="O14" s="178">
        <v>25</v>
      </c>
    </row>
    <row r="15" spans="1:23" s="100" customFormat="1" ht="12.75">
      <c r="C15" s="100" t="s">
        <v>665</v>
      </c>
      <c r="D15" s="163">
        <f>D16*D17*D18*D19*D4</f>
        <v>0.61199999999999999</v>
      </c>
      <c r="E15" s="100" t="s">
        <v>339</v>
      </c>
      <c r="I15" s="175"/>
      <c r="J15" s="178">
        <v>1.35</v>
      </c>
      <c r="K15" s="178">
        <v>1.5</v>
      </c>
      <c r="L15" s="179">
        <f>TREND(J15:K15,J14:K14,L14)</f>
        <v>1.4</v>
      </c>
      <c r="M15" s="178">
        <v>1.45</v>
      </c>
      <c r="N15" s="178">
        <v>1.8</v>
      </c>
      <c r="O15" s="179">
        <f>TREND(M15:N15,M14:N14,O14)</f>
        <v>1.56666666666667</v>
      </c>
      <c r="Q15" s="100" t="s">
        <v>364</v>
      </c>
      <c r="R15" s="100" t="s">
        <v>666</v>
      </c>
      <c r="S15" s="100" t="s">
        <v>667</v>
      </c>
    </row>
    <row r="16" spans="1:23" s="100" customFormat="1" ht="12.75">
      <c r="C16" s="115" t="s">
        <v>668</v>
      </c>
      <c r="D16" s="151">
        <v>1</v>
      </c>
      <c r="Q16" s="100">
        <v>5</v>
      </c>
      <c r="R16" s="100">
        <v>0.1</v>
      </c>
      <c r="S16" s="100">
        <v>-0.5</v>
      </c>
    </row>
    <row r="17" spans="1:19" s="100" customFormat="1" ht="12.75">
      <c r="C17" s="115" t="s">
        <v>669</v>
      </c>
      <c r="D17" s="151">
        <v>1.5</v>
      </c>
      <c r="Q17" s="100">
        <v>10</v>
      </c>
      <c r="R17" s="100">
        <v>0.25</v>
      </c>
      <c r="S17" s="100">
        <v>-0.65</v>
      </c>
    </row>
    <row r="18" spans="1:19" s="100" customFormat="1" ht="12.75">
      <c r="C18" s="115" t="s">
        <v>670</v>
      </c>
      <c r="D18" s="163">
        <v>1.5</v>
      </c>
      <c r="J18" s="365" t="s">
        <v>658</v>
      </c>
      <c r="K18" s="365"/>
      <c r="L18" s="365"/>
      <c r="Q18" s="100">
        <v>20</v>
      </c>
      <c r="R18" s="100">
        <v>0.6</v>
      </c>
      <c r="S18" s="100">
        <v>-1</v>
      </c>
    </row>
    <row r="19" spans="1:19" s="100" customFormat="1" ht="12.75">
      <c r="C19" s="115" t="s">
        <v>671</v>
      </c>
      <c r="D19" s="163">
        <f>IF(D14="自定义",L6,L20)</f>
        <v>0.85</v>
      </c>
      <c r="J19" s="180">
        <f>IF(D6&lt;5,5,IF(D6&gt;55,55,INDEX($Q$16:$Q$21,MATCH(D6,$Q$16:$Q$21),1)))</f>
        <v>20</v>
      </c>
      <c r="K19" s="180">
        <f>IF(D6&lt;5,5,IF(D6&gt;54.9,55,INDEX($Q$16:$Q$20,MATCH(D6,$Q$16:$Q$20)+1,1)))</f>
        <v>30</v>
      </c>
      <c r="L19" s="180">
        <f>$D$6</f>
        <v>20</v>
      </c>
      <c r="Q19" s="100">
        <v>30</v>
      </c>
      <c r="R19" s="100">
        <v>1</v>
      </c>
      <c r="S19" s="100">
        <v>-1.3</v>
      </c>
    </row>
    <row r="20" spans="1:19" s="100" customFormat="1" ht="12.75">
      <c r="A20" s="107" t="s">
        <v>672</v>
      </c>
      <c r="B20" s="107"/>
      <c r="C20" s="107"/>
      <c r="D20" s="107"/>
      <c r="E20" s="107"/>
      <c r="F20" s="107"/>
      <c r="G20" s="107"/>
      <c r="H20" s="107"/>
      <c r="J20" s="180">
        <f>VLOOKUP(J19,$Q$16:$S$21,2,FALSE)</f>
        <v>0.6</v>
      </c>
      <c r="K20" s="180">
        <f>VLOOKUP(K19,$Q$16:$S$21,2,FALSE)</f>
        <v>1</v>
      </c>
      <c r="L20" s="180">
        <f>TREND(J20:K20,J19:K19,L19)</f>
        <v>0.6</v>
      </c>
      <c r="Q20" s="100">
        <v>40</v>
      </c>
      <c r="R20" s="100">
        <v>1.3</v>
      </c>
      <c r="S20" s="100">
        <v>-1.6</v>
      </c>
    </row>
    <row r="21" spans="1:19" s="100" customFormat="1" ht="12.75">
      <c r="C21" s="100" t="s">
        <v>673</v>
      </c>
      <c r="D21" s="163">
        <f>D22*D23*D24*D25*D4</f>
        <v>-0.72</v>
      </c>
      <c r="E21" s="100" t="s">
        <v>339</v>
      </c>
      <c r="Q21" s="100">
        <v>55</v>
      </c>
      <c r="R21" s="100">
        <v>1.3</v>
      </c>
      <c r="S21" s="100">
        <v>-1.6</v>
      </c>
    </row>
    <row r="22" spans="1:19" s="100" customFormat="1" ht="12.75">
      <c r="C22" s="115" t="s">
        <v>668</v>
      </c>
      <c r="D22" s="151">
        <v>1</v>
      </c>
      <c r="J22" s="365" t="s">
        <v>658</v>
      </c>
      <c r="K22" s="365"/>
      <c r="L22" s="365"/>
    </row>
    <row r="23" spans="1:19" s="100" customFormat="1" ht="12.75">
      <c r="C23" s="115" t="s">
        <v>669</v>
      </c>
      <c r="D23" s="163">
        <f>D17</f>
        <v>1.5</v>
      </c>
      <c r="J23" s="180">
        <f>IF(D6&lt;5,5,IF(D6&gt;55,55,INDEX($Q$16:$Q$20,MATCH(D6,$Q$16:$Q$20),1)))</f>
        <v>20</v>
      </c>
      <c r="K23" s="180">
        <f>IF(D6&lt;5,5,IF(D6&gt;54.9,55,INDEX($Q$16:$Q$20,MATCH(D6,$Q$16:$Q$20)+1,1)))</f>
        <v>30</v>
      </c>
      <c r="L23" s="180">
        <f>$D$6</f>
        <v>20</v>
      </c>
    </row>
    <row r="24" spans="1:19" s="100" customFormat="1" ht="12.75">
      <c r="C24" s="115" t="s">
        <v>670</v>
      </c>
      <c r="D24" s="163">
        <v>1.5</v>
      </c>
      <c r="J24" s="180">
        <f>VLOOKUP(J23,$Q$16:$S$21,3,FALSE)</f>
        <v>-1</v>
      </c>
      <c r="K24" s="180">
        <f>VLOOKUP(K23,$Q$16:$S$21,3,FALSE)</f>
        <v>-1.3</v>
      </c>
      <c r="L24" s="180">
        <f>TREND(J24:K24,J23:K23,L23)</f>
        <v>-1</v>
      </c>
    </row>
    <row r="25" spans="1:19" s="100" customFormat="1" ht="12.75">
      <c r="C25" s="115" t="s">
        <v>671</v>
      </c>
      <c r="D25" s="163">
        <f>IF(D14="自定义",L7,L24)</f>
        <v>-1</v>
      </c>
      <c r="Q25" s="100" t="s">
        <v>364</v>
      </c>
      <c r="R25" s="100" t="s">
        <v>365</v>
      </c>
    </row>
    <row r="26" spans="1:19" s="100" customFormat="1" ht="12.75">
      <c r="A26" s="100" t="s">
        <v>674</v>
      </c>
      <c r="Q26" s="100">
        <v>25</v>
      </c>
      <c r="R26" s="100">
        <v>1</v>
      </c>
    </row>
    <row r="27" spans="1:19" s="100" customFormat="1" ht="12.75">
      <c r="C27" s="100" t="s">
        <v>675</v>
      </c>
      <c r="D27" s="163">
        <f>D5*D28</f>
        <v>0.2</v>
      </c>
      <c r="E27" s="107" t="s">
        <v>339</v>
      </c>
      <c r="J27" s="365" t="s">
        <v>658</v>
      </c>
      <c r="K27" s="365"/>
      <c r="L27" s="365"/>
      <c r="Q27" s="100">
        <v>30</v>
      </c>
      <c r="R27" s="100">
        <v>0.8</v>
      </c>
    </row>
    <row r="28" spans="1:19" s="100" customFormat="1" ht="12.75">
      <c r="C28" s="100" t="s">
        <v>361</v>
      </c>
      <c r="D28" s="163">
        <f>L29</f>
        <v>1</v>
      </c>
      <c r="J28" s="180">
        <f>IF(D6&lt;25,25,IF(D6&gt;49.9,50,INDEX($Q$26:$Q$31,MATCH(D6,$Q$26:$Q$31),1)))</f>
        <v>25</v>
      </c>
      <c r="K28" s="180">
        <f>IF(D6&lt;25,25,IF(D6&gt;49.9,50,INDEX($Q$26:$Q$31,MATCH(D6,$Q$26:$Q$31)+1,1)))</f>
        <v>25</v>
      </c>
      <c r="L28" s="180">
        <f>$D$6</f>
        <v>20</v>
      </c>
      <c r="Q28" s="100">
        <v>35</v>
      </c>
      <c r="R28" s="100">
        <v>0.6</v>
      </c>
    </row>
    <row r="29" spans="1:19" s="100" customFormat="1" ht="12.75">
      <c r="A29" s="366" t="s">
        <v>676</v>
      </c>
      <c r="B29" s="366"/>
      <c r="J29" s="180">
        <f>VLOOKUP(J28,$Q$26:$R$31,2,FALSE)</f>
        <v>1</v>
      </c>
      <c r="K29" s="180">
        <f>VLOOKUP(K28,$Q$26:$R$31,2,FALSE)</f>
        <v>1</v>
      </c>
      <c r="L29" s="180">
        <f>TREND(J29:K29,J28:K28,L28)</f>
        <v>1</v>
      </c>
      <c r="Q29" s="100">
        <v>40</v>
      </c>
      <c r="R29" s="100">
        <v>0.4</v>
      </c>
    </row>
    <row r="30" spans="1:19" s="100" customFormat="1" ht="12.75">
      <c r="B30" s="167" t="s">
        <v>677</v>
      </c>
      <c r="C30" s="167" t="s">
        <v>678</v>
      </c>
      <c r="Q30" s="100">
        <v>45</v>
      </c>
      <c r="R30" s="100">
        <v>0.2</v>
      </c>
    </row>
    <row r="31" spans="1:19" s="100" customFormat="1" ht="12.75">
      <c r="C31" s="115" t="s">
        <v>679</v>
      </c>
      <c r="D31" s="163">
        <f>ROUND(D11/100/D9/2,3)</f>
        <v>0.11899999999999999</v>
      </c>
      <c r="E31" s="103" t="s">
        <v>155</v>
      </c>
      <c r="Q31" s="100">
        <v>50</v>
      </c>
      <c r="R31" s="100">
        <v>0</v>
      </c>
    </row>
    <row r="32" spans="1:19" s="100" customFormat="1" ht="12.75">
      <c r="C32" s="115" t="s">
        <v>680</v>
      </c>
      <c r="D32" s="163">
        <f>ROUND(D15*D12/D9/2,3)</f>
        <v>0.69699999999999995</v>
      </c>
      <c r="E32" s="103" t="s">
        <v>155</v>
      </c>
    </row>
    <row r="33" spans="1:45" s="100" customFormat="1" ht="12.75">
      <c r="C33" s="115" t="s">
        <v>681</v>
      </c>
      <c r="D33" s="163">
        <f>ROUND(D21*D12/D9/2,3)</f>
        <v>-0.82</v>
      </c>
      <c r="E33" s="103" t="s">
        <v>155</v>
      </c>
    </row>
    <row r="34" spans="1:45" s="100" customFormat="1" ht="12.75">
      <c r="C34" s="115" t="s">
        <v>682</v>
      </c>
      <c r="D34" s="163">
        <f>ROUND(D27*D12/D9/2,3)</f>
        <v>0.22800000000000001</v>
      </c>
      <c r="E34" s="103" t="s">
        <v>155</v>
      </c>
    </row>
    <row r="35" spans="1:45" s="100" customFormat="1" ht="18.75" customHeight="1">
      <c r="B35" s="167" t="s">
        <v>683</v>
      </c>
      <c r="C35" s="167" t="s">
        <v>684</v>
      </c>
    </row>
    <row r="36" spans="1:45" s="100" customFormat="1" ht="18.75" customHeight="1">
      <c r="C36" s="115" t="s">
        <v>685</v>
      </c>
      <c r="D36" s="163">
        <f>D31*$D$7</f>
        <v>2.5823</v>
      </c>
      <c r="E36" s="103" t="s">
        <v>315</v>
      </c>
    </row>
    <row r="37" spans="1:45" s="100" customFormat="1" ht="18.75" customHeight="1">
      <c r="C37" s="115" t="s">
        <v>686</v>
      </c>
      <c r="D37" s="163">
        <f t="shared" ref="D37:D39" si="0">D32*$D$7</f>
        <v>15.1249</v>
      </c>
      <c r="E37" s="103" t="s">
        <v>315</v>
      </c>
      <c r="P37" s="100">
        <v>1</v>
      </c>
      <c r="Q37" s="100">
        <v>2</v>
      </c>
      <c r="R37" s="100">
        <v>3</v>
      </c>
      <c r="S37" s="100">
        <v>4</v>
      </c>
      <c r="T37" s="100">
        <v>5</v>
      </c>
      <c r="U37" s="100">
        <v>6</v>
      </c>
      <c r="V37" s="100">
        <v>7</v>
      </c>
      <c r="W37" s="100">
        <v>8</v>
      </c>
      <c r="X37" s="100">
        <v>9</v>
      </c>
    </row>
    <row r="38" spans="1:45" s="100" customFormat="1" ht="18.75" customHeight="1">
      <c r="C38" s="115" t="s">
        <v>687</v>
      </c>
      <c r="D38" s="163">
        <f t="shared" si="0"/>
        <v>-17.794</v>
      </c>
      <c r="E38" s="103" t="s">
        <v>315</v>
      </c>
      <c r="Q38" s="367" t="s">
        <v>347</v>
      </c>
      <c r="R38" s="367"/>
      <c r="S38" s="368" t="s">
        <v>348</v>
      </c>
      <c r="T38" s="368"/>
      <c r="U38" s="369" t="s">
        <v>349</v>
      </c>
      <c r="V38" s="369"/>
      <c r="W38" s="370" t="s">
        <v>350</v>
      </c>
      <c r="X38" s="370"/>
    </row>
    <row r="39" spans="1:45" s="100" customFormat="1" ht="18.75" customHeight="1">
      <c r="C39" s="115" t="s">
        <v>688</v>
      </c>
      <c r="D39" s="163">
        <f t="shared" si="0"/>
        <v>4.9476000000000004</v>
      </c>
      <c r="E39" s="103" t="s">
        <v>315</v>
      </c>
      <c r="Q39" s="100" t="s">
        <v>352</v>
      </c>
      <c r="R39" s="100" t="s">
        <v>353</v>
      </c>
      <c r="S39" s="100" t="s">
        <v>354</v>
      </c>
      <c r="T39" s="100" t="s">
        <v>355</v>
      </c>
      <c r="U39" s="100" t="s">
        <v>356</v>
      </c>
      <c r="V39" s="100" t="s">
        <v>357</v>
      </c>
      <c r="W39" s="100" t="s">
        <v>358</v>
      </c>
      <c r="X39" s="100" t="s">
        <v>359</v>
      </c>
    </row>
    <row r="40" spans="1:45" s="100" customFormat="1" ht="18.75" customHeight="1">
      <c r="A40" s="366" t="s">
        <v>689</v>
      </c>
      <c r="B40" s="366"/>
      <c r="C40" s="366"/>
      <c r="P40" s="100">
        <v>2</v>
      </c>
      <c r="Q40" s="100">
        <v>7.0000000000000007E-2</v>
      </c>
      <c r="R40" s="100">
        <v>7.0000000000000007E-2</v>
      </c>
      <c r="S40" s="100">
        <v>-0.125</v>
      </c>
      <c r="T40" s="100">
        <v>-0.125</v>
      </c>
      <c r="U40" s="100">
        <v>0.375</v>
      </c>
      <c r="V40" s="100">
        <v>-0.625</v>
      </c>
      <c r="W40" s="100">
        <v>0.52100000000000002</v>
      </c>
      <c r="X40" s="100">
        <v>0.52100000000000002</v>
      </c>
    </row>
    <row r="41" spans="1:45" s="100" customFormat="1" ht="18.75" customHeight="1">
      <c r="C41" s="115" t="s">
        <v>690</v>
      </c>
      <c r="D41" s="151">
        <v>1.2</v>
      </c>
      <c r="P41" s="100">
        <v>3</v>
      </c>
      <c r="Q41" s="100">
        <v>0.08</v>
      </c>
      <c r="R41" s="100">
        <v>2.5000000000000001E-2</v>
      </c>
      <c r="S41" s="100">
        <v>-0.1</v>
      </c>
      <c r="T41" s="100">
        <v>-0.1</v>
      </c>
      <c r="U41" s="100">
        <v>0.4</v>
      </c>
      <c r="V41" s="100">
        <v>-0.6</v>
      </c>
      <c r="W41" s="100">
        <v>0.67700000000000005</v>
      </c>
      <c r="X41" s="100">
        <v>5.1999999999999998E-2</v>
      </c>
      <c r="AL41" s="107"/>
      <c r="AM41" s="107"/>
      <c r="AN41" s="107"/>
      <c r="AO41" s="107"/>
      <c r="AP41" s="107"/>
      <c r="AQ41" s="107"/>
      <c r="AR41" s="107"/>
      <c r="AS41" s="107"/>
    </row>
    <row r="42" spans="1:45" s="100" customFormat="1" ht="18.75" customHeight="1">
      <c r="C42" s="115" t="s">
        <v>691</v>
      </c>
      <c r="D42" s="151">
        <v>1.4</v>
      </c>
      <c r="P42" s="100">
        <v>4</v>
      </c>
      <c r="Q42" s="100">
        <v>7.6999999999999999E-2</v>
      </c>
      <c r="R42" s="100">
        <v>3.5999999999999997E-2</v>
      </c>
      <c r="S42" s="100">
        <v>-0.107</v>
      </c>
      <c r="T42" s="100">
        <v>-7.0999999999999994E-2</v>
      </c>
      <c r="U42" s="100">
        <v>0.39300000000000002</v>
      </c>
      <c r="V42" s="100">
        <v>-0.60699999999999998</v>
      </c>
      <c r="W42" s="100">
        <v>0.63200000000000001</v>
      </c>
      <c r="X42" s="100">
        <v>0.186</v>
      </c>
    </row>
    <row r="43" spans="1:45" s="100" customFormat="1" ht="18.75" customHeight="1">
      <c r="C43" s="115" t="s">
        <v>692</v>
      </c>
      <c r="D43" s="151">
        <v>0.7</v>
      </c>
      <c r="P43" s="100">
        <v>5</v>
      </c>
      <c r="Q43" s="100">
        <v>7.8E-2</v>
      </c>
      <c r="R43" s="100">
        <v>4.5999999999999999E-2</v>
      </c>
      <c r="S43" s="100">
        <v>-0.105</v>
      </c>
      <c r="T43" s="100">
        <v>-7.9000000000000001E-2</v>
      </c>
      <c r="U43" s="100">
        <v>0.39400000000000002</v>
      </c>
      <c r="V43" s="100">
        <v>-0.60599999999999998</v>
      </c>
      <c r="W43" s="100">
        <v>0.64400000000000002</v>
      </c>
      <c r="X43" s="100">
        <v>0.151</v>
      </c>
    </row>
    <row r="44" spans="1:45" s="100" customFormat="1" ht="18.75" customHeight="1">
      <c r="C44" s="115" t="s">
        <v>693</v>
      </c>
      <c r="D44" s="151">
        <v>5</v>
      </c>
    </row>
    <row r="45" spans="1:45" s="100" customFormat="1" ht="18.75" customHeight="1">
      <c r="B45" s="100" t="s">
        <v>694</v>
      </c>
      <c r="C45" s="100" t="s">
        <v>695</v>
      </c>
      <c r="D45" s="366" t="s">
        <v>696</v>
      </c>
      <c r="E45" s="366"/>
      <c r="F45" s="366"/>
    </row>
    <row r="46" spans="1:45" s="100" customFormat="1" ht="18.75" customHeight="1">
      <c r="C46" s="115" t="s">
        <v>697</v>
      </c>
      <c r="D46" s="163">
        <f>ROUND(D41*(D31+D78)*COS(RADIANS(D6))+D42*D32+D43*D42*D34*COS(RADIANS(D6)),3)</f>
        <v>1.3580000000000001</v>
      </c>
      <c r="E46" s="103" t="s">
        <v>155</v>
      </c>
    </row>
    <row r="47" spans="1:45" s="100" customFormat="1" ht="18.75" customHeight="1">
      <c r="C47" s="100" t="s">
        <v>698</v>
      </c>
      <c r="D47" s="366" t="s">
        <v>699</v>
      </c>
      <c r="E47" s="366"/>
      <c r="F47" s="366"/>
    </row>
    <row r="48" spans="1:45" s="100" customFormat="1" ht="18.75" customHeight="1">
      <c r="C48" s="115" t="s">
        <v>697</v>
      </c>
      <c r="D48" s="163">
        <f>ROUND(D41*(D31+D78)*SIN(RADIANS(D6))+D43*D42*D34*SIN(RADIANS(D6)),3)</f>
        <v>0.13900000000000001</v>
      </c>
      <c r="E48" s="103" t="s">
        <v>155</v>
      </c>
    </row>
    <row r="49" spans="2:6" s="100" customFormat="1" ht="18.75" customHeight="1">
      <c r="C49" s="115" t="s">
        <v>700</v>
      </c>
      <c r="D49" s="100" t="s">
        <v>701</v>
      </c>
      <c r="E49" s="163">
        <f>ROUND(D53*D46*D7^2,3)</f>
        <v>-67.144000000000005</v>
      </c>
      <c r="F49" s="103" t="s">
        <v>400</v>
      </c>
    </row>
    <row r="50" spans="2:6" s="100" customFormat="1" ht="18.75" customHeight="1">
      <c r="C50" s="115" t="s">
        <v>702</v>
      </c>
      <c r="D50" s="100" t="s">
        <v>703</v>
      </c>
      <c r="E50" s="163">
        <f>ROUND(D53*D48*(D7*AC77)^2,3)</f>
        <v>-6.8730000000000002</v>
      </c>
      <c r="F50" s="103" t="s">
        <v>400</v>
      </c>
    </row>
    <row r="51" spans="2:6" s="100" customFormat="1" ht="18.75" customHeight="1">
      <c r="C51" s="115" t="s">
        <v>704</v>
      </c>
      <c r="D51" s="100" t="s">
        <v>705</v>
      </c>
      <c r="E51" s="163">
        <f>ROUND(D54*D46*D7,2)</f>
        <v>-17.86</v>
      </c>
      <c r="F51" s="103" t="s">
        <v>315</v>
      </c>
    </row>
    <row r="52" spans="2:6" s="100" customFormat="1" ht="18.75" customHeight="1">
      <c r="C52" s="115" t="s">
        <v>706</v>
      </c>
      <c r="D52" s="100" t="s">
        <v>707</v>
      </c>
      <c r="E52" s="163">
        <f>ROUND(D54*D48*D7,2)</f>
        <v>-1.83</v>
      </c>
      <c r="F52" s="103" t="s">
        <v>315</v>
      </c>
    </row>
    <row r="53" spans="2:6" s="100" customFormat="1" ht="18.75" customHeight="1">
      <c r="C53" s="115" t="s">
        <v>39</v>
      </c>
      <c r="D53" s="163">
        <f>VLOOKUP(D44,P40:X43,4,FALSE)</f>
        <v>-0.105</v>
      </c>
    </row>
    <row r="54" spans="2:6" s="100" customFormat="1" ht="18.75" customHeight="1">
      <c r="C54" s="115" t="s">
        <v>42</v>
      </c>
      <c r="D54" s="163">
        <f>VLOOKUP(D44,P37:X43,7,FALSE)</f>
        <v>-0.60599999999999998</v>
      </c>
    </row>
    <row r="55" spans="2:6" s="100" customFormat="1" ht="18.75" customHeight="1">
      <c r="B55" s="100" t="s">
        <v>708</v>
      </c>
      <c r="C55" s="100" t="s">
        <v>695</v>
      </c>
      <c r="D55" s="366" t="s">
        <v>709</v>
      </c>
      <c r="E55" s="366"/>
      <c r="F55" s="366"/>
    </row>
    <row r="56" spans="2:6" s="100" customFormat="1" ht="18.75" customHeight="1">
      <c r="C56" s="115" t="s">
        <v>697</v>
      </c>
      <c r="D56" s="163">
        <f>ROUND((D31+D78)*COS(RADIANS(D6))+D42*D33,3)</f>
        <v>-1.004</v>
      </c>
      <c r="E56" s="103" t="s">
        <v>155</v>
      </c>
    </row>
    <row r="57" spans="2:6" s="100" customFormat="1" ht="18.75" customHeight="1">
      <c r="C57" s="100" t="s">
        <v>698</v>
      </c>
      <c r="D57" s="366" t="s">
        <v>710</v>
      </c>
      <c r="E57" s="366"/>
      <c r="F57" s="366"/>
    </row>
    <row r="58" spans="2:6" s="100" customFormat="1" ht="18.75" customHeight="1">
      <c r="C58" s="115" t="s">
        <v>697</v>
      </c>
      <c r="D58" s="163">
        <f>ROUND((D31+D78)*SIN(RADIANS(D6)),3)</f>
        <v>5.1999999999999998E-2</v>
      </c>
      <c r="E58" s="103" t="s">
        <v>155</v>
      </c>
    </row>
    <row r="59" spans="2:6" s="100" customFormat="1" ht="18.75" customHeight="1">
      <c r="C59" s="115" t="s">
        <v>711</v>
      </c>
      <c r="D59" s="100" t="s">
        <v>701</v>
      </c>
      <c r="E59" s="163">
        <f>ROUND(D64*D56*D7^2,3)</f>
        <v>-36.875999999999998</v>
      </c>
      <c r="F59" s="103" t="s">
        <v>400</v>
      </c>
    </row>
    <row r="60" spans="2:6" s="100" customFormat="1" ht="18.75" customHeight="1">
      <c r="C60" s="115" t="s">
        <v>712</v>
      </c>
      <c r="D60" s="100" t="s">
        <v>703</v>
      </c>
      <c r="E60" s="163">
        <f>ROUND(D64*D58*(D7*AC77)^2,3)</f>
        <v>1.91</v>
      </c>
      <c r="F60" s="103" t="s">
        <v>400</v>
      </c>
    </row>
    <row r="61" spans="2:6" s="100" customFormat="1" ht="18.75" customHeight="1">
      <c r="C61" s="115" t="s">
        <v>704</v>
      </c>
      <c r="D61" s="100" t="s">
        <v>705</v>
      </c>
      <c r="E61" s="163">
        <f>ROUND(D63*D56*D7,2)</f>
        <v>13.2</v>
      </c>
      <c r="F61" s="103" t="s">
        <v>315</v>
      </c>
    </row>
    <row r="62" spans="2:6" s="100" customFormat="1" ht="18.75" customHeight="1">
      <c r="C62" s="115" t="s">
        <v>706</v>
      </c>
      <c r="D62" s="100" t="s">
        <v>707</v>
      </c>
      <c r="E62" s="163">
        <f>ROUND(D63*D58*D7,2)</f>
        <v>-0.68</v>
      </c>
      <c r="F62" s="103" t="s">
        <v>315</v>
      </c>
    </row>
    <row r="63" spans="2:6" s="100" customFormat="1" ht="18.75" customHeight="1">
      <c r="C63" s="115" t="s">
        <v>42</v>
      </c>
      <c r="D63" s="100">
        <f>VLOOKUP(D44,P37:X43,7,FALSE)</f>
        <v>-0.60599999999999998</v>
      </c>
    </row>
    <row r="64" spans="2:6" s="100" customFormat="1" ht="18.75" customHeight="1">
      <c r="C64" s="115" t="s">
        <v>45</v>
      </c>
      <c r="D64" s="100">
        <f>VLOOKUP(D44,P37:X43,2,FALSE)</f>
        <v>7.8E-2</v>
      </c>
    </row>
    <row r="65" spans="1:62" s="100" customFormat="1" ht="18.75" customHeight="1">
      <c r="A65" s="366" t="s">
        <v>713</v>
      </c>
      <c r="B65" s="366"/>
      <c r="C65" s="366"/>
      <c r="AE65" s="100">
        <v>1</v>
      </c>
      <c r="AF65" s="100">
        <v>2</v>
      </c>
      <c r="AG65" s="100">
        <v>3</v>
      </c>
      <c r="AH65" s="100">
        <v>4</v>
      </c>
      <c r="AI65" s="100">
        <v>5</v>
      </c>
      <c r="AJ65" s="100">
        <v>6</v>
      </c>
      <c r="AK65" s="100">
        <v>7</v>
      </c>
      <c r="AL65" s="100">
        <v>8</v>
      </c>
    </row>
    <row r="66" spans="1:62" s="100" customFormat="1" ht="18.75" customHeight="1">
      <c r="C66" s="100" t="s">
        <v>714</v>
      </c>
      <c r="D66" s="100">
        <f>ABS(E49)</f>
        <v>67.144000000000005</v>
      </c>
      <c r="E66" s="103" t="s">
        <v>400</v>
      </c>
      <c r="J66" s="100" t="s">
        <v>715</v>
      </c>
      <c r="K66" s="100">
        <v>1</v>
      </c>
      <c r="L66" s="100">
        <v>2</v>
      </c>
      <c r="M66" s="100">
        <v>3</v>
      </c>
      <c r="N66" s="100">
        <v>4</v>
      </c>
      <c r="O66" s="100">
        <v>5</v>
      </c>
      <c r="P66" s="100">
        <v>6</v>
      </c>
      <c r="Q66" s="100">
        <v>7</v>
      </c>
      <c r="R66" s="100">
        <v>8</v>
      </c>
      <c r="S66" s="100">
        <v>9</v>
      </c>
      <c r="T66" s="100">
        <v>10</v>
      </c>
      <c r="U66" s="100">
        <v>11</v>
      </c>
      <c r="V66" s="100">
        <v>12</v>
      </c>
      <c r="W66" s="100">
        <v>13</v>
      </c>
      <c r="X66" s="100">
        <v>14</v>
      </c>
      <c r="Y66" s="100">
        <v>15</v>
      </c>
      <c r="AB66" s="100" t="s">
        <v>716</v>
      </c>
      <c r="AF66" s="100" t="s">
        <v>484</v>
      </c>
      <c r="AG66" s="100" t="s">
        <v>717</v>
      </c>
      <c r="AH66" s="100" t="s">
        <v>113</v>
      </c>
      <c r="AI66" s="100" t="s">
        <v>718</v>
      </c>
    </row>
    <row r="67" spans="1:62" s="100" customFormat="1" ht="18.75" customHeight="1">
      <c r="C67" s="100" t="s">
        <v>719</v>
      </c>
      <c r="D67" s="100">
        <f>ABS(E50)</f>
        <v>6.8730000000000002</v>
      </c>
      <c r="E67" s="103" t="s">
        <v>400</v>
      </c>
      <c r="J67" s="100" t="s">
        <v>609</v>
      </c>
      <c r="K67" s="100" t="s">
        <v>72</v>
      </c>
      <c r="L67" s="100" t="s">
        <v>720</v>
      </c>
      <c r="M67" s="100" t="s">
        <v>721</v>
      </c>
      <c r="N67" s="100" t="s">
        <v>717</v>
      </c>
      <c r="O67" s="100" t="s">
        <v>722</v>
      </c>
      <c r="P67" s="100" t="s">
        <v>597</v>
      </c>
      <c r="Q67" s="100" t="s">
        <v>723</v>
      </c>
      <c r="R67" s="100" t="s">
        <v>724</v>
      </c>
      <c r="S67" s="100" t="s">
        <v>725</v>
      </c>
      <c r="T67" s="100" t="s">
        <v>726</v>
      </c>
      <c r="U67" s="100" t="s">
        <v>727</v>
      </c>
      <c r="V67" s="100" t="s">
        <v>728</v>
      </c>
      <c r="W67" s="100" t="s">
        <v>729</v>
      </c>
      <c r="X67" s="100" t="s">
        <v>730</v>
      </c>
      <c r="Y67" s="100" t="s">
        <v>731</v>
      </c>
      <c r="AB67" s="100">
        <v>0</v>
      </c>
      <c r="AC67" s="100">
        <v>1</v>
      </c>
      <c r="AE67" s="100" t="s">
        <v>419</v>
      </c>
      <c r="AF67" s="100">
        <v>205</v>
      </c>
      <c r="AG67" s="100">
        <f>VLOOKUP($D$71,$K$68:$V$78,4,FALSE)</f>
        <v>2</v>
      </c>
      <c r="AH67" s="100">
        <f>VLOOKUP($D$71,$K$68:$V$78,7,FALSE)</f>
        <v>434</v>
      </c>
      <c r="AI67" s="100">
        <v>1.58</v>
      </c>
      <c r="AJ67" s="100">
        <f>1+(12*AI67-10)*AG67/(AH67/AG67)</f>
        <v>1.08258064516129</v>
      </c>
      <c r="AK67" s="100">
        <f>IF(AG67&lt;1.99,AF67,ROUND(AJ67*AF67,3))</f>
        <v>221.929</v>
      </c>
      <c r="AL67" s="100">
        <v>235</v>
      </c>
    </row>
    <row r="68" spans="1:62" s="100" customFormat="1" ht="18.75" customHeight="1">
      <c r="C68" s="100" t="s">
        <v>732</v>
      </c>
      <c r="D68" s="100">
        <f>ABS(E59)</f>
        <v>36.875999999999998</v>
      </c>
      <c r="E68" s="103" t="s">
        <v>400</v>
      </c>
      <c r="J68" s="100">
        <v>1</v>
      </c>
      <c r="K68" s="163" t="str">
        <f>IF(L68="","","C"&amp;L68&amp;"x"&amp;M68&amp;"x"&amp;O68&amp;"x"&amp;N68)</f>
        <v>C100x50x30x3</v>
      </c>
      <c r="L68" s="164">
        <v>100</v>
      </c>
      <c r="M68" s="164">
        <v>50</v>
      </c>
      <c r="N68" s="164">
        <v>3</v>
      </c>
      <c r="O68" s="164">
        <v>30</v>
      </c>
      <c r="P68" s="100">
        <f>Q68*1000*0.00000785</f>
        <v>5.8403999999999998</v>
      </c>
      <c r="Q68" s="100">
        <f>(L68+2*M68+2*O68-4*N68)*N68</f>
        <v>744</v>
      </c>
      <c r="R68" s="100">
        <f>M68*(M68+2*O68)/(L68+2*M68+2*O68)</f>
        <v>21.153846153846199</v>
      </c>
      <c r="S68" s="100">
        <f>L68^3*N68/12+(M68-2*N68)*N68^3/6+(L68-N68)^2*N68*(M68-2*N68)/2+O68^3*N68/6+O68*N68*(L68-O68)^2/2</f>
        <v>1105192</v>
      </c>
      <c r="T68" s="100">
        <f>N68^3*L68/12+(R68-N68*0.5)^2*L68*N68+O68*N68^3/6+(M68-R68-N68*0.5)^2*O68*N68*2+(R68-N68)^3*N68/6+((R68-N68)*0.5)^2*(R68-N68)*N68*2+(M68-R68-N68)^3*N68/6+((M68-R68-N68)*0.5)^2*(M68-R68-N68)*N68*2</f>
        <v>297345.609467456</v>
      </c>
      <c r="U68" s="100">
        <f>S68/(L68*0.5)</f>
        <v>22103.84</v>
      </c>
      <c r="V68" s="100">
        <f>T68/(M68-R68)</f>
        <v>10307.9811282051</v>
      </c>
      <c r="W68" s="100">
        <f>(M68*L68^2/4+O68*L68^2/2-O68^3*2/3)*N68*M68/S68</f>
        <v>34.880817088795403</v>
      </c>
      <c r="X68" s="100">
        <f>(L68+2*M68+2*O68)*N68^3/3</f>
        <v>2340</v>
      </c>
      <c r="Y68" s="100">
        <f>N68*M68^2*(M68*L68^2+3*O68*L68^2+6*O68^2*L68+4*O68^3)/6-S68*W68^2</f>
        <v>1215344501.2269399</v>
      </c>
      <c r="AB68" s="100">
        <v>1</v>
      </c>
      <c r="AC68" s="100">
        <v>0.5</v>
      </c>
      <c r="AE68" s="100" t="s">
        <v>93</v>
      </c>
      <c r="AF68" s="100">
        <v>300</v>
      </c>
      <c r="AG68" s="100">
        <f>VLOOKUP($D$71,$K$68:$V$78,4,FALSE)</f>
        <v>2</v>
      </c>
      <c r="AH68" s="100">
        <f>VLOOKUP($D$71,$K$68:$V$78,7,FALSE)</f>
        <v>434</v>
      </c>
      <c r="AI68" s="100">
        <v>1.48</v>
      </c>
      <c r="AJ68" s="100">
        <f>1+(12*AI68-10)*AG68/(AH68/AG68)</f>
        <v>1.07152073732719</v>
      </c>
      <c r="AK68" s="100">
        <f t="shared" ref="AK68:AK70" si="1">IF(AG68&lt;1.99,AF68,ROUND(AJ68*AF68,3))</f>
        <v>321.45600000000002</v>
      </c>
      <c r="AL68" s="100">
        <v>345</v>
      </c>
    </row>
    <row r="69" spans="1:62" s="100" customFormat="1" ht="18.75" customHeight="1">
      <c r="C69" s="100" t="s">
        <v>733</v>
      </c>
      <c r="D69" s="100">
        <f>ABS(E60)</f>
        <v>1.91</v>
      </c>
      <c r="E69" s="103" t="s">
        <v>400</v>
      </c>
      <c r="J69" s="100">
        <v>2</v>
      </c>
      <c r="K69" s="163" t="str">
        <f t="shared" ref="K69:K73" si="2">IF(L69="","","C"&amp;L69&amp;"x"&amp;M69&amp;"x"&amp;O69&amp;"x"&amp;N69)</f>
        <v>C80x40x15x2</v>
      </c>
      <c r="L69" s="164">
        <v>80</v>
      </c>
      <c r="M69" s="164">
        <v>40</v>
      </c>
      <c r="N69" s="164">
        <v>2</v>
      </c>
      <c r="O69" s="164">
        <v>15</v>
      </c>
      <c r="P69" s="100">
        <f t="shared" ref="P69:P71" si="3">Q69*1000*0.00000785</f>
        <v>2.8574000000000002</v>
      </c>
      <c r="Q69" s="100">
        <f t="shared" ref="Q69:Q71" si="4">(L69+2*M69+2*O69-4*N69)*N69</f>
        <v>364</v>
      </c>
      <c r="R69" s="100">
        <f t="shared" ref="R69:R71" si="5">M69*(M69+2*O69)/(L69+2*M69+2*O69)</f>
        <v>14.7368421052632</v>
      </c>
      <c r="S69" s="100">
        <f t="shared" ref="S69:S71" si="6">L69^3*N69/12+(M69-2*N69)*N69^3/6+(L69-N69)^2*N69*(M69-2*N69)/2+O69^3*N69/6+O69*N69*(L69-O69)^2/2</f>
        <v>368905.33333333302</v>
      </c>
      <c r="T69" s="100">
        <f t="shared" ref="T69:T71" si="7">N69^3*L69/12+(R69-N69*0.5)^2*L69*N69+O69*N69^3/6+(M69-R69-N69*0.5)^2*O69*N69*2+(R69-N69)^3*N69/6+((R69-N69)*0.5)^2*(R69-N69)*N69*2+(M69-R69-N69)^3*N69/6+((M69-R69-N69)*0.5)^2*(M69-R69-N69)*N69*2</f>
        <v>85128.435826408095</v>
      </c>
      <c r="U69" s="100">
        <f t="shared" ref="U69:U71" si="8">S69/(L69*0.5)</f>
        <v>9222.6333333333296</v>
      </c>
      <c r="V69" s="100">
        <f t="shared" ref="V69:V71" si="9">T69/(M69-R69)</f>
        <v>3369.66725146199</v>
      </c>
      <c r="W69" s="100">
        <f t="shared" ref="W69:W78" si="10">(M69*L69^2/4+O69*L69^2/2-O69^3*2/3)*N69*M69/S69</f>
        <v>23.8001438490091</v>
      </c>
      <c r="X69" s="100">
        <f t="shared" ref="X69:X78" si="11">(L69+2*M69+2*O69)*N69^3/3</f>
        <v>506.66666666666703</v>
      </c>
      <c r="Y69" s="100">
        <f t="shared" ref="Y69:Y78" si="12">N69*M69^2*(M69*L69^2+3*O69*L69^2+6*O69^2*L69+4*O69^3)/6-S69*W69^2</f>
        <v>145968070.33903301</v>
      </c>
      <c r="AB69" s="100">
        <v>2</v>
      </c>
      <c r="AC69" s="100">
        <f>1/3</f>
        <v>0.33333333333333298</v>
      </c>
      <c r="AE69" s="100" t="s">
        <v>96</v>
      </c>
      <c r="AF69" s="100">
        <v>375</v>
      </c>
      <c r="AG69" s="100">
        <f>VLOOKUP($D$71,$K$68:$V$78,4,FALSE)</f>
        <v>2</v>
      </c>
      <c r="AH69" s="100">
        <f>VLOOKUP($D$71,$K$68:$V$78,7,FALSE)</f>
        <v>434</v>
      </c>
      <c r="AI69" s="100">
        <v>1.48</v>
      </c>
      <c r="AJ69" s="100">
        <f>1+(12*AI69-10)*AG69/(AH69/AG69)</f>
        <v>1.07152073732719</v>
      </c>
      <c r="AK69" s="100">
        <f t="shared" si="1"/>
        <v>401.82</v>
      </c>
      <c r="AL69" s="100">
        <v>420</v>
      </c>
      <c r="AT69" s="100" t="s">
        <v>734</v>
      </c>
      <c r="AU69" s="100" t="s">
        <v>735</v>
      </c>
    </row>
    <row r="70" spans="1:62" s="100" customFormat="1" ht="18.75" customHeight="1">
      <c r="C70" s="115" t="s">
        <v>103</v>
      </c>
      <c r="D70" s="151" t="s">
        <v>736</v>
      </c>
      <c r="J70" s="100">
        <v>3</v>
      </c>
      <c r="K70" s="163" t="str">
        <f t="shared" si="2"/>
        <v>C80x40x15x1.5</v>
      </c>
      <c r="L70" s="164">
        <v>80</v>
      </c>
      <c r="M70" s="164">
        <v>40</v>
      </c>
      <c r="N70" s="164">
        <v>1.5</v>
      </c>
      <c r="O70" s="164">
        <v>15</v>
      </c>
      <c r="P70" s="100">
        <f t="shared" si="3"/>
        <v>2.1665999999999999</v>
      </c>
      <c r="Q70" s="100">
        <f t="shared" si="4"/>
        <v>276</v>
      </c>
      <c r="R70" s="100">
        <f t="shared" si="5"/>
        <v>14.7368421052632</v>
      </c>
      <c r="S70" s="100">
        <f t="shared" si="6"/>
        <v>283398.25</v>
      </c>
      <c r="T70" s="100">
        <f t="shared" si="7"/>
        <v>66285.060941828197</v>
      </c>
      <c r="U70" s="100">
        <f t="shared" si="8"/>
        <v>7084.9562500000002</v>
      </c>
      <c r="V70" s="100">
        <f t="shared" si="9"/>
        <v>2623.7836622806999</v>
      </c>
      <c r="W70" s="100">
        <f t="shared" si="10"/>
        <v>23.235852726684101</v>
      </c>
      <c r="X70" s="100">
        <f t="shared" si="11"/>
        <v>213.75</v>
      </c>
      <c r="Y70" s="100">
        <f t="shared" si="12"/>
        <v>113191909.79478499</v>
      </c>
      <c r="AB70" s="100">
        <v>3</v>
      </c>
      <c r="AC70" s="100">
        <f>1/4</f>
        <v>0.25</v>
      </c>
      <c r="AE70" s="100" t="s">
        <v>737</v>
      </c>
      <c r="AF70" s="100">
        <v>392</v>
      </c>
      <c r="AG70" s="100">
        <f>VLOOKUP($D$71,$K$68:$V$78,4,FALSE)</f>
        <v>2</v>
      </c>
      <c r="AH70" s="100">
        <f>VLOOKUP($D$71,$K$68:$V$78,7,FALSE)</f>
        <v>434</v>
      </c>
      <c r="AI70" s="100">
        <v>1.48</v>
      </c>
      <c r="AJ70" s="100">
        <f>1+(12*AI70-10)*AG70/(AH70/AG70)</f>
        <v>1.07152073732719</v>
      </c>
      <c r="AK70" s="100">
        <f t="shared" si="1"/>
        <v>420.036</v>
      </c>
      <c r="AL70" s="100">
        <v>450</v>
      </c>
      <c r="AT70" s="100">
        <v>1.1299999999999999</v>
      </c>
      <c r="AU70" s="100">
        <v>0.46</v>
      </c>
    </row>
    <row r="71" spans="1:62" s="100" customFormat="1" ht="18.75" customHeight="1">
      <c r="C71" s="115" t="s">
        <v>407</v>
      </c>
      <c r="D71" s="151" t="s">
        <v>738</v>
      </c>
      <c r="J71" s="100">
        <v>4</v>
      </c>
      <c r="K71" s="163" t="str">
        <f t="shared" si="2"/>
        <v>C90x50x15x2</v>
      </c>
      <c r="L71" s="164">
        <v>90</v>
      </c>
      <c r="M71" s="164">
        <v>50</v>
      </c>
      <c r="N71" s="164">
        <v>2</v>
      </c>
      <c r="O71" s="164">
        <v>15</v>
      </c>
      <c r="P71" s="100">
        <f t="shared" si="3"/>
        <v>3.3283999999999998</v>
      </c>
      <c r="Q71" s="100">
        <f t="shared" si="4"/>
        <v>424</v>
      </c>
      <c r="R71" s="100">
        <f t="shared" si="5"/>
        <v>18.181818181818201</v>
      </c>
      <c r="S71" s="100">
        <f t="shared" si="6"/>
        <v>563285.33333333302</v>
      </c>
      <c r="T71" s="100">
        <f t="shared" si="7"/>
        <v>151203.349862259</v>
      </c>
      <c r="U71" s="100">
        <f t="shared" si="8"/>
        <v>12517.4518518519</v>
      </c>
      <c r="V71" s="100">
        <f t="shared" si="9"/>
        <v>4752.1052813852803</v>
      </c>
      <c r="W71" s="100">
        <f t="shared" si="10"/>
        <v>28.360404673534301</v>
      </c>
      <c r="X71" s="100">
        <f t="shared" si="11"/>
        <v>586.66666666666697</v>
      </c>
      <c r="Y71" s="100">
        <f t="shared" si="12"/>
        <v>300692535.340289</v>
      </c>
      <c r="AB71" s="100">
        <v>4</v>
      </c>
      <c r="AC71" s="100">
        <f>1/5</f>
        <v>0.2</v>
      </c>
      <c r="AT71" s="100">
        <v>1.35</v>
      </c>
      <c r="AU71" s="100">
        <v>0.14000000000000001</v>
      </c>
    </row>
    <row r="72" spans="1:62" s="100" customFormat="1" ht="18.75" customHeight="1">
      <c r="C72" s="115" t="s">
        <v>739</v>
      </c>
      <c r="D72" s="151">
        <v>0.9</v>
      </c>
      <c r="J72" s="100">
        <v>5</v>
      </c>
      <c r="K72" s="163" t="str">
        <f t="shared" si="2"/>
        <v>C115x40x15x2</v>
      </c>
      <c r="L72" s="164">
        <v>115</v>
      </c>
      <c r="M72" s="164">
        <v>40</v>
      </c>
      <c r="N72" s="164">
        <v>2</v>
      </c>
      <c r="O72" s="164">
        <v>15</v>
      </c>
      <c r="P72" s="100">
        <f t="shared" ref="P72:P78" si="13">Q72*1000*0.00000785</f>
        <v>3.4068999999999998</v>
      </c>
      <c r="Q72" s="100">
        <f t="shared" ref="Q72:Q78" si="14">(L72+2*M72+2*O72-4*N72)*N72</f>
        <v>434</v>
      </c>
      <c r="R72" s="100">
        <f t="shared" ref="R72:R78" si="15">M72*(M72+2*O72)/(L72+2*M72+2*O72)</f>
        <v>12.4444444444444</v>
      </c>
      <c r="S72" s="100">
        <f t="shared" ref="S72:S78" si="16">L72^3*N72/12+(M72-2*N72)*N72^3/6+(L72-N72)^2*N72*(M72-2*N72)/2+O72^3*N72/6+O72*N72*(L72-O72)^2/2</f>
        <v>864336.16666666698</v>
      </c>
      <c r="T72" s="100">
        <f t="shared" ref="T72:T78" si="17">N72^3*L72/12+(R72-N72*0.5)^2*L72*N72+O72*N72^3/6+(M72-R72-N72*0.5)^2*O72*N72*2+(R72-N72)^3*N72/6+((R72-N72)*0.5)^2*(R72-N72)*N72*2+(M72-R72-N72)^3*N72/6+((M72-R72-N72)*0.5)^2*(M72-R72-N72)*N72*2</f>
        <v>96305.283950617304</v>
      </c>
      <c r="U72" s="100">
        <f t="shared" ref="U72:U78" si="18">S72/(L72*0.5)</f>
        <v>15031.9333333333</v>
      </c>
      <c r="V72" s="100">
        <f t="shared" ref="V72:V78" si="19">T72/(M72-R72)</f>
        <v>3494.9498207885299</v>
      </c>
      <c r="W72" s="100">
        <f t="shared" si="10"/>
        <v>21.2128112962221</v>
      </c>
      <c r="X72" s="100">
        <f t="shared" si="11"/>
        <v>600</v>
      </c>
      <c r="Y72" s="100">
        <f t="shared" si="12"/>
        <v>300596438.21710098</v>
      </c>
      <c r="AB72" s="100">
        <v>5</v>
      </c>
      <c r="AC72" s="100">
        <f>1/6</f>
        <v>0.16666666666666699</v>
      </c>
      <c r="AT72" s="100">
        <v>1.37</v>
      </c>
      <c r="AU72" s="100">
        <v>0.06</v>
      </c>
    </row>
    <row r="73" spans="1:62" s="100" customFormat="1" ht="18.75" customHeight="1">
      <c r="C73" s="115" t="s">
        <v>740</v>
      </c>
      <c r="D73" s="151">
        <v>0.9</v>
      </c>
      <c r="J73" s="100">
        <v>6</v>
      </c>
      <c r="K73" s="163" t="str">
        <f t="shared" si="2"/>
        <v>C115x40x15x2</v>
      </c>
      <c r="L73" s="164">
        <v>115</v>
      </c>
      <c r="M73" s="164">
        <v>40</v>
      </c>
      <c r="N73" s="164">
        <v>2</v>
      </c>
      <c r="O73" s="164">
        <v>15</v>
      </c>
      <c r="P73" s="100">
        <f t="shared" ref="P73" si="20">Q73*1000*0.00000785</f>
        <v>3.4068999999999998</v>
      </c>
      <c r="Q73" s="100">
        <f t="shared" ref="Q73" si="21">(L73+2*M73+2*O73-4*N73)*N73</f>
        <v>434</v>
      </c>
      <c r="R73" s="100">
        <f t="shared" ref="R73" si="22">M73*(M73+2*O73)/(L73+2*M73+2*O73)</f>
        <v>12.4444444444444</v>
      </c>
      <c r="S73" s="100">
        <f t="shared" ref="S73" si="23">L73^3*N73/12+(M73-2*N73)*N73^3/6+(L73-N73)^2*N73*(M73-2*N73)/2+O73^3*N73/6+O73*N73*(L73-O73)^2/2</f>
        <v>864336.16666666698</v>
      </c>
      <c r="T73" s="100">
        <f t="shared" ref="T73" si="24">N73^3*L73/12+(R73-N73*0.5)^2*L73*N73+O73*N73^3/6+(M73-R73-N73*0.5)^2*O73*N73*2+(R73-N73)^3*N73/6+((R73-N73)*0.5)^2*(R73-N73)*N73*2+(M73-R73-N73)^3*N73/6+((M73-R73-N73)*0.5)^2*(M73-R73-N73)*N73*2</f>
        <v>96305.283950617304</v>
      </c>
      <c r="U73" s="100">
        <f t="shared" ref="U73" si="25">S73/(L73*0.5)</f>
        <v>15031.9333333333</v>
      </c>
      <c r="V73" s="100">
        <f t="shared" ref="V73" si="26">T73/(M73-R73)</f>
        <v>3494.9498207885299</v>
      </c>
      <c r="W73" s="100">
        <f t="shared" ref="W73" si="27">(M73*L73^2/4+O73*L73^2/2-O73^3*2/3)*N73*M73/S73</f>
        <v>21.2128112962221</v>
      </c>
      <c r="X73" s="100">
        <f t="shared" ref="X73" si="28">(L73+2*M73+2*O73)*N73^3/3</f>
        <v>600</v>
      </c>
      <c r="Y73" s="100">
        <f t="shared" si="12"/>
        <v>300596438.21710098</v>
      </c>
    </row>
    <row r="74" spans="1:62" s="100" customFormat="1" ht="18.75" customHeight="1">
      <c r="C74" s="115" t="s">
        <v>741</v>
      </c>
      <c r="D74" s="100">
        <f>VLOOKUP(D71,K68:V78,9,FALSE)*D72</f>
        <v>777902.55</v>
      </c>
      <c r="E74" s="103" t="s">
        <v>151</v>
      </c>
      <c r="J74" s="100">
        <v>7</v>
      </c>
      <c r="K74" s="163" t="str">
        <f t="shared" ref="K74:K78" si="29">IF(L74="","","C"&amp;L74&amp;"x"&amp;M74&amp;"x"&amp;O74&amp;"x"&amp;N74)</f>
        <v>C100x40x15x1.8</v>
      </c>
      <c r="L74" s="164">
        <v>100</v>
      </c>
      <c r="M74" s="164">
        <v>40</v>
      </c>
      <c r="N74" s="164">
        <v>1.8</v>
      </c>
      <c r="O74" s="164">
        <v>15</v>
      </c>
      <c r="P74" s="100">
        <f t="shared" si="13"/>
        <v>2.865564</v>
      </c>
      <c r="Q74" s="100">
        <f t="shared" si="14"/>
        <v>365.04</v>
      </c>
      <c r="R74" s="100">
        <f t="shared" si="15"/>
        <v>13.3333333333333</v>
      </c>
      <c r="S74" s="100">
        <f t="shared" si="16"/>
        <v>564497.92319999996</v>
      </c>
      <c r="T74" s="100">
        <f t="shared" si="17"/>
        <v>84033.283200000005</v>
      </c>
      <c r="U74" s="100">
        <f t="shared" si="18"/>
        <v>11289.958463999999</v>
      </c>
      <c r="V74" s="100">
        <f t="shared" si="19"/>
        <v>3151.2481200000002</v>
      </c>
      <c r="W74" s="100">
        <f t="shared" si="10"/>
        <v>22.033739166819299</v>
      </c>
      <c r="X74" s="100">
        <f t="shared" si="11"/>
        <v>408.24</v>
      </c>
      <c r="Y74" s="100">
        <f t="shared" si="12"/>
        <v>205224352.243101</v>
      </c>
    </row>
    <row r="75" spans="1:62" s="100" customFormat="1" ht="18.75" customHeight="1">
      <c r="C75" s="115" t="s">
        <v>742</v>
      </c>
      <c r="D75" s="100">
        <f>VLOOKUP(D71,K68:V78,10,FALSE)*D73</f>
        <v>86674.755555555501</v>
      </c>
      <c r="E75" s="103" t="s">
        <v>151</v>
      </c>
      <c r="J75" s="100">
        <v>8</v>
      </c>
      <c r="K75" s="163" t="str">
        <f t="shared" si="29"/>
        <v>C60x40x10x2</v>
      </c>
      <c r="L75" s="164">
        <v>60</v>
      </c>
      <c r="M75" s="164">
        <v>40</v>
      </c>
      <c r="N75" s="164">
        <v>2</v>
      </c>
      <c r="O75" s="164">
        <v>10</v>
      </c>
      <c r="P75" s="100">
        <f t="shared" si="13"/>
        <v>2.3864000000000001</v>
      </c>
      <c r="Q75" s="100">
        <f t="shared" si="14"/>
        <v>304</v>
      </c>
      <c r="R75" s="100">
        <f t="shared" si="15"/>
        <v>15</v>
      </c>
      <c r="S75" s="100">
        <f t="shared" si="16"/>
        <v>182485.33333333299</v>
      </c>
      <c r="T75" s="100">
        <f t="shared" si="17"/>
        <v>65765.333333333299</v>
      </c>
      <c r="U75" s="100">
        <f t="shared" si="18"/>
        <v>6082.8444444444403</v>
      </c>
      <c r="V75" s="100">
        <f t="shared" si="19"/>
        <v>2630.61333333333</v>
      </c>
      <c r="W75" s="100">
        <f t="shared" si="10"/>
        <v>23.380874444704201</v>
      </c>
      <c r="X75" s="100">
        <f t="shared" si="11"/>
        <v>426.66666666666703</v>
      </c>
      <c r="Y75" s="100">
        <f t="shared" si="12"/>
        <v>55974935.702595301</v>
      </c>
    </row>
    <row r="76" spans="1:62" s="100" customFormat="1" ht="18.75" customHeight="1">
      <c r="C76" s="115" t="s">
        <v>743</v>
      </c>
      <c r="D76" s="100">
        <f>VLOOKUP(D71,K68:V78,11,FALSE)*D72</f>
        <v>13528.74</v>
      </c>
      <c r="E76" s="103" t="s">
        <v>115</v>
      </c>
      <c r="J76" s="100">
        <v>9</v>
      </c>
      <c r="K76" s="163" t="str">
        <f t="shared" si="29"/>
        <v>C120x40x15x2</v>
      </c>
      <c r="L76" s="164">
        <v>120</v>
      </c>
      <c r="M76" s="164">
        <v>40</v>
      </c>
      <c r="N76" s="164">
        <v>2</v>
      </c>
      <c r="O76" s="164">
        <v>15</v>
      </c>
      <c r="P76" s="100">
        <f t="shared" si="13"/>
        <v>3.4853999999999998</v>
      </c>
      <c r="Q76" s="100">
        <f t="shared" si="14"/>
        <v>444</v>
      </c>
      <c r="R76" s="100">
        <f t="shared" si="15"/>
        <v>12.173913043478301</v>
      </c>
      <c r="S76" s="100">
        <f t="shared" si="16"/>
        <v>955812</v>
      </c>
      <c r="T76" s="100">
        <f t="shared" si="17"/>
        <v>97615.516068052893</v>
      </c>
      <c r="U76" s="100">
        <f t="shared" si="18"/>
        <v>15930.2</v>
      </c>
      <c r="V76" s="100">
        <f t="shared" si="19"/>
        <v>3508.0576086956498</v>
      </c>
      <c r="W76" s="100">
        <f t="shared" si="10"/>
        <v>20.9036923579114</v>
      </c>
      <c r="X76" s="100">
        <f t="shared" si="11"/>
        <v>613.33333333333303</v>
      </c>
      <c r="Y76" s="100">
        <f t="shared" si="12"/>
        <v>328744226.68892998</v>
      </c>
    </row>
    <row r="77" spans="1:62" s="100" customFormat="1" ht="18.75" customHeight="1">
      <c r="C77" s="115" t="s">
        <v>744</v>
      </c>
      <c r="D77" s="100">
        <f>VLOOKUP(D71,K68:V78,12,FALSE)*D73</f>
        <v>3145.4548387096802</v>
      </c>
      <c r="E77" s="103" t="s">
        <v>115</v>
      </c>
      <c r="J77" s="100">
        <v>10</v>
      </c>
      <c r="K77" s="163" t="str">
        <f t="shared" si="29"/>
        <v>C140x40x15x1.8</v>
      </c>
      <c r="L77" s="164">
        <v>140</v>
      </c>
      <c r="M77" s="164">
        <v>40</v>
      </c>
      <c r="N77" s="164">
        <v>1.8</v>
      </c>
      <c r="O77" s="164">
        <v>15</v>
      </c>
      <c r="P77" s="100">
        <f t="shared" si="13"/>
        <v>3.4307639999999999</v>
      </c>
      <c r="Q77" s="100">
        <f t="shared" si="14"/>
        <v>437.04</v>
      </c>
      <c r="R77" s="100">
        <f t="shared" si="15"/>
        <v>11.2</v>
      </c>
      <c r="S77" s="100">
        <f t="shared" si="16"/>
        <v>1249276.4831999999</v>
      </c>
      <c r="T77" s="100">
        <f t="shared" si="17"/>
        <v>93467.7408</v>
      </c>
      <c r="U77" s="100">
        <f t="shared" si="18"/>
        <v>17846.806902857101</v>
      </c>
      <c r="V77" s="100">
        <f t="shared" si="19"/>
        <v>3245.4076666666701</v>
      </c>
      <c r="W77" s="100">
        <f t="shared" si="10"/>
        <v>19.638567066560501</v>
      </c>
      <c r="X77" s="100">
        <f t="shared" si="11"/>
        <v>486</v>
      </c>
      <c r="Y77" s="100">
        <f t="shared" si="12"/>
        <v>415067395.58900499</v>
      </c>
      <c r="AB77" s="100">
        <f>D8</f>
        <v>0</v>
      </c>
      <c r="AC77" s="100">
        <f>VLOOKUP(AB77,AB67:AC72,2,FALSE)</f>
        <v>1</v>
      </c>
    </row>
    <row r="78" spans="1:62" s="100" customFormat="1" ht="18.75" customHeight="1">
      <c r="C78" s="115" t="s">
        <v>745</v>
      </c>
      <c r="D78" s="100">
        <f>VLOOKUP(D71,K68:T78,6,FALSE)/100</f>
        <v>3.4069000000000002E-2</v>
      </c>
      <c r="E78" s="103" t="s">
        <v>155</v>
      </c>
      <c r="J78" s="100">
        <v>11</v>
      </c>
      <c r="K78" s="163" t="str">
        <f t="shared" si="29"/>
        <v>C130x40x15x2</v>
      </c>
      <c r="L78" s="164">
        <v>130</v>
      </c>
      <c r="M78" s="164">
        <v>40</v>
      </c>
      <c r="N78" s="164">
        <v>2</v>
      </c>
      <c r="O78" s="164">
        <v>15</v>
      </c>
      <c r="P78" s="100">
        <f t="shared" si="13"/>
        <v>3.6423999999999999</v>
      </c>
      <c r="Q78" s="100">
        <f t="shared" si="14"/>
        <v>464</v>
      </c>
      <c r="R78" s="100">
        <f t="shared" si="15"/>
        <v>11.6666666666667</v>
      </c>
      <c r="S78" s="100">
        <f t="shared" si="16"/>
        <v>1155538.66666667</v>
      </c>
      <c r="T78" s="100">
        <f t="shared" si="17"/>
        <v>100067.555555556</v>
      </c>
      <c r="U78" s="100">
        <f t="shared" si="18"/>
        <v>17777.517948717901</v>
      </c>
      <c r="V78" s="100">
        <f t="shared" si="19"/>
        <v>3531.79607843137</v>
      </c>
      <c r="W78" s="100">
        <f t="shared" si="10"/>
        <v>20.319527746944001</v>
      </c>
      <c r="X78" s="100">
        <f t="shared" si="11"/>
        <v>640</v>
      </c>
      <c r="Y78" s="100">
        <f t="shared" si="12"/>
        <v>389830821.83508801</v>
      </c>
      <c r="AB78" s="100" t="s">
        <v>166</v>
      </c>
      <c r="AC78" s="100" t="s">
        <v>123</v>
      </c>
      <c r="AD78" s="100" t="s">
        <v>746</v>
      </c>
      <c r="AE78" s="100" t="s">
        <v>723</v>
      </c>
      <c r="AF78" s="100" t="s">
        <v>720</v>
      </c>
      <c r="AG78" s="100" t="s">
        <v>124</v>
      </c>
      <c r="AH78" s="100" t="s">
        <v>78</v>
      </c>
      <c r="AI78" s="100" t="s">
        <v>747</v>
      </c>
      <c r="AJ78" s="100" t="s">
        <v>748</v>
      </c>
      <c r="AK78" s="100" t="s">
        <v>749</v>
      </c>
      <c r="AL78" s="100" t="s">
        <v>750</v>
      </c>
      <c r="AM78" s="100" t="s">
        <v>751</v>
      </c>
      <c r="AN78" s="100" t="s">
        <v>752</v>
      </c>
      <c r="AO78" s="100" t="s">
        <v>753</v>
      </c>
      <c r="AP78" s="100" t="s">
        <v>754</v>
      </c>
      <c r="AQ78" s="100" t="s">
        <v>755</v>
      </c>
      <c r="AR78" s="100" t="s">
        <v>756</v>
      </c>
      <c r="AS78" s="100" t="s">
        <v>125</v>
      </c>
      <c r="AT78" s="100" t="s">
        <v>734</v>
      </c>
      <c r="AU78" s="100" t="s">
        <v>735</v>
      </c>
      <c r="AV78" s="100" t="s">
        <v>757</v>
      </c>
      <c r="AW78" s="100" t="s">
        <v>758</v>
      </c>
      <c r="AX78" s="100" t="s">
        <v>759</v>
      </c>
      <c r="AY78" s="100" t="s">
        <v>729</v>
      </c>
      <c r="AZ78" s="100" t="s">
        <v>760</v>
      </c>
      <c r="BA78" s="100" t="s">
        <v>761</v>
      </c>
      <c r="BB78" s="100" t="s">
        <v>730</v>
      </c>
      <c r="BC78" s="100" t="s">
        <v>731</v>
      </c>
      <c r="BD78" s="100" t="s">
        <v>762</v>
      </c>
      <c r="BE78" s="100" t="s">
        <v>763</v>
      </c>
      <c r="BF78" s="100" t="s">
        <v>764</v>
      </c>
      <c r="BG78" s="100" t="s">
        <v>765</v>
      </c>
      <c r="BH78" s="100" t="s">
        <v>766</v>
      </c>
    </row>
    <row r="79" spans="1:62" s="100" customFormat="1" ht="18.75" customHeight="1">
      <c r="C79" s="115" t="s">
        <v>73</v>
      </c>
      <c r="D79" s="151" t="s">
        <v>93</v>
      </c>
      <c r="AA79" s="100">
        <f>VLOOKUP(D79,AE67:AL70,8,FALSE)</f>
        <v>345</v>
      </c>
      <c r="AB79" s="100">
        <f>VLOOKUP($D$71,$K$68:$Y$78,2,FALSE)</f>
        <v>115</v>
      </c>
      <c r="AC79" s="100">
        <f>VLOOKUP($D$71,$K$68:$Y$78,3,FALSE)</f>
        <v>40</v>
      </c>
      <c r="AD79" s="100">
        <f>VLOOKUP($D$71,$K$68:$Y$78,8,FALSE)</f>
        <v>12.4444444444444</v>
      </c>
      <c r="AE79" s="100">
        <f>VLOOKUP($D$71,$K$68:$V$78,7,FALSE)</f>
        <v>434</v>
      </c>
      <c r="AF79" s="100">
        <f>VLOOKUP($D$71,$K$68:$V$78,2,FALSE)</f>
        <v>115</v>
      </c>
      <c r="AG79" s="100">
        <f>VLOOKUP($D$71,$K$68:$V$78,9,FALSE)</f>
        <v>864336.16666666698</v>
      </c>
      <c r="AH79" s="100">
        <f>VLOOKUP($D$71,$K$68:$V$78,10,FALSE)</f>
        <v>96305.283950617304</v>
      </c>
      <c r="AI79" s="100">
        <f>SQRT(AG79/AE79)</f>
        <v>44.626875173052497</v>
      </c>
      <c r="AJ79" s="100">
        <f>SQRT(AH79/AE79)</f>
        <v>14.896361163823901</v>
      </c>
      <c r="AK79" s="100">
        <f>D7*1000*AC77</f>
        <v>21700</v>
      </c>
      <c r="AL79" s="100">
        <f>AK79/AI79</f>
        <v>486.25407707468901</v>
      </c>
      <c r="AM79" s="100">
        <f>AK79/AJ79</f>
        <v>1456.7315978279901</v>
      </c>
      <c r="AN79" s="100">
        <f>AL79*SQRT(AP79+SQRT(AP79^2-AO79))</f>
        <v>510.48972571908803</v>
      </c>
      <c r="AO79" s="100">
        <f>(AR79-AZ79^2)/AQ79</f>
        <v>0.16901685264824201</v>
      </c>
      <c r="AP79" s="100">
        <f>(AQ79+AR79)/2/AQ79</f>
        <v>0.62775839800271005</v>
      </c>
      <c r="AQ79" s="100">
        <f>(BC79/AK79^2+0.039*BB79)*AL79^2/AE79</f>
        <v>13096.0879282314</v>
      </c>
      <c r="AR79" s="100">
        <f>AZ79^2+AI79^2+AJ79^2</f>
        <v>3346.2704276269301</v>
      </c>
      <c r="AS79" s="100">
        <f>VLOOKUP($D$71,$K$68:$Y$78,11,FALSE)</f>
        <v>15031.9333333333</v>
      </c>
      <c r="AT79" s="100">
        <f>IF(D16&lt;0.99,AT70,IF(D16&gt;2.99,AT72,AT71))</f>
        <v>1.35</v>
      </c>
      <c r="AU79" s="100">
        <f>IF(D16&lt;0.99,AU70,IF(D16&gt;2.99,AU72,AU71))</f>
        <v>0.14000000000000001</v>
      </c>
      <c r="AV79" s="100">
        <f>4*BC79/AB79^2/AH79+0.156*BB79*(AK79/AB79)^2/AH79</f>
        <v>35.549906476591197</v>
      </c>
      <c r="AW79" s="100">
        <f>2*AU79*AZ79/AB79</f>
        <v>8.1948100933796897E-2</v>
      </c>
      <c r="AX79" s="100">
        <f>4320*AE79*AB79*AT79*(SQRT(AW79^2+AV79)+AW79)*(235/AA79)/AS79/MAX(AM79,AL79)^2</f>
        <v>3.7572319479530103E-2</v>
      </c>
      <c r="AY79" s="100">
        <f>VLOOKUP($D$71,$K$68:$Y$78,13,FALSE)</f>
        <v>21.2128112962221</v>
      </c>
      <c r="AZ79" s="100">
        <f>AY79+AD79</f>
        <v>33.657255740666599</v>
      </c>
      <c r="BA79" s="100">
        <f>AC79*0.5+AY79</f>
        <v>41.2128112962221</v>
      </c>
      <c r="BB79" s="100">
        <f>VLOOKUP($D$71,$K$68:$Y$78,14,FALSE)</f>
        <v>600</v>
      </c>
      <c r="BC79" s="100">
        <f>VLOOKUP($D$71,$K$68:$Y$78,15,FALSE)</f>
        <v>300596438.21710098</v>
      </c>
      <c r="BD79" s="100">
        <f>SQRT(79000*BB79/200000/BC79)</f>
        <v>8.8793721386129E-4</v>
      </c>
      <c r="BE79" s="100">
        <f>SQRT(D46^2+D48^2)</f>
        <v>1.3650952347730201</v>
      </c>
      <c r="BF79" s="100">
        <f>BE79*BA79/BD79/BD79</f>
        <v>71356029.355258495</v>
      </c>
      <c r="BG79" s="100">
        <f>BC79/AY79</f>
        <v>14170513.9417629</v>
      </c>
      <c r="BH79" s="100">
        <f>BF79/BG79</f>
        <v>5.0355286793770002</v>
      </c>
      <c r="BI79" s="100">
        <f>BF79*2</f>
        <v>142712058.71051699</v>
      </c>
      <c r="BJ79" s="100">
        <f>BI79/BG79</f>
        <v>10.071057358754</v>
      </c>
    </row>
    <row r="80" spans="1:62" s="100" customFormat="1" ht="18.75" customHeight="1">
      <c r="C80" s="115" t="s">
        <v>108</v>
      </c>
      <c r="D80" s="100">
        <f>VLOOKUP(D79,AE67:AK70,2,FALSE)</f>
        <v>300</v>
      </c>
      <c r="E80" s="107" t="s">
        <v>109</v>
      </c>
    </row>
    <row r="81" spans="1:11" s="100" customFormat="1" ht="18.75" customHeight="1">
      <c r="C81" s="115" t="s">
        <v>767</v>
      </c>
      <c r="D81" s="371" t="s">
        <v>768</v>
      </c>
      <c r="E81" s="371"/>
    </row>
    <row r="82" spans="1:11" s="100" customFormat="1" ht="18.75" customHeight="1">
      <c r="C82" s="115" t="s">
        <v>697</v>
      </c>
      <c r="D82" s="100">
        <f>ROUND(D66*1000000/D76+D67*1000000/D77+BJ79,2)</f>
        <v>7158.19</v>
      </c>
      <c r="E82" s="100" t="str">
        <f>IF(D82&gt;F82,"&gt;","&lt;")</f>
        <v>&gt;</v>
      </c>
      <c r="F82" s="100">
        <f>D80</f>
        <v>300</v>
      </c>
      <c r="G82" s="182">
        <f>D82/F82</f>
        <v>23.8606333333333</v>
      </c>
      <c r="K82" s="100" t="s">
        <v>769</v>
      </c>
    </row>
    <row r="83" spans="1:11" s="100" customFormat="1" ht="18.75" customHeight="1">
      <c r="A83" s="371" t="str">
        <f>IF(D82&gt;F82,"强度不满足要求","强度满足要求")</f>
        <v>强度不满足要求</v>
      </c>
      <c r="B83" s="371"/>
      <c r="C83" s="371"/>
      <c r="D83" s="371"/>
      <c r="E83" s="371"/>
      <c r="F83" s="371"/>
      <c r="G83" s="371"/>
    </row>
    <row r="84" spans="1:11" s="100" customFormat="1" ht="18.75" customHeight="1">
      <c r="C84" s="115" t="s">
        <v>770</v>
      </c>
      <c r="D84" s="100">
        <f>VLOOKUP(D71,K68:V78,9,FALSE)</f>
        <v>864336.16666666698</v>
      </c>
      <c r="E84" s="103" t="s">
        <v>151</v>
      </c>
    </row>
    <row r="85" spans="1:11" s="100" customFormat="1" ht="18.75" customHeight="1">
      <c r="C85" s="115" t="s">
        <v>771</v>
      </c>
      <c r="D85" s="100">
        <f>VLOOKUP(D71,K68:V78,10,FALSE)</f>
        <v>96305.283950617304</v>
      </c>
      <c r="E85" s="103" t="s">
        <v>151</v>
      </c>
    </row>
    <row r="86" spans="1:11" s="100" customFormat="1" ht="18.75" customHeight="1">
      <c r="C86" s="115" t="s">
        <v>772</v>
      </c>
      <c r="D86" s="100">
        <f>VLOOKUP(D71,K68:V78,11,FALSE)</f>
        <v>15031.9333333333</v>
      </c>
      <c r="E86" s="103" t="s">
        <v>115</v>
      </c>
    </row>
    <row r="87" spans="1:11" s="100" customFormat="1" ht="18.75" customHeight="1">
      <c r="C87" s="115" t="s">
        <v>773</v>
      </c>
      <c r="D87" s="100">
        <f>VLOOKUP(D71,K68:V78,12,FALSE)</f>
        <v>3494.9498207885299</v>
      </c>
      <c r="E87" s="103" t="s">
        <v>115</v>
      </c>
    </row>
    <row r="88" spans="1:11" s="100" customFormat="1" ht="18.75" customHeight="1">
      <c r="C88" s="115" t="s">
        <v>108</v>
      </c>
      <c r="D88" s="100">
        <f>VLOOKUP(D79,AE67:AK70,2,FALSE)</f>
        <v>300</v>
      </c>
      <c r="E88" s="107" t="s">
        <v>109</v>
      </c>
    </row>
    <row r="89" spans="1:11" s="100" customFormat="1" ht="18.75" customHeight="1">
      <c r="C89" s="115" t="s">
        <v>774</v>
      </c>
      <c r="D89" s="100">
        <f>ROUND(AX79,2)</f>
        <v>0.04</v>
      </c>
      <c r="E89" s="103"/>
    </row>
    <row r="90" spans="1:11" s="100" customFormat="1" ht="18.75" customHeight="1">
      <c r="C90" s="115" t="s">
        <v>767</v>
      </c>
      <c r="D90" s="371" t="s">
        <v>775</v>
      </c>
      <c r="E90" s="371"/>
    </row>
    <row r="91" spans="1:11" s="100" customFormat="1" ht="18.75" customHeight="1">
      <c r="C91" s="115" t="s">
        <v>697</v>
      </c>
      <c r="D91" s="100">
        <f>ROUND(D68*1000000/D89/D86+D69*1000000/D87,2)</f>
        <v>61875.94</v>
      </c>
      <c r="E91" s="100" t="str">
        <f>IF(D91&gt;F91,"&gt;","&lt;")</f>
        <v>&gt;</v>
      </c>
      <c r="F91" s="100">
        <f>D88</f>
        <v>300</v>
      </c>
      <c r="G91" s="182">
        <f>D91/F91</f>
        <v>206.25313333333301</v>
      </c>
    </row>
    <row r="92" spans="1:11" s="100" customFormat="1" ht="18.75" customHeight="1">
      <c r="A92" s="371" t="str">
        <f>IF(D91&gt;F91,"稳定不满足要求","稳定满足要求")</f>
        <v>稳定不满足要求</v>
      </c>
      <c r="B92" s="371"/>
      <c r="C92" s="371"/>
      <c r="D92" s="371"/>
      <c r="E92" s="371"/>
      <c r="F92" s="371"/>
      <c r="G92" s="371"/>
    </row>
    <row r="93" spans="1:11" s="100" customFormat="1" ht="18.75" customHeight="1"/>
    <row r="94" spans="1:11" s="100" customFormat="1" ht="18.75" customHeight="1"/>
    <row r="95" spans="1:11" s="100" customFormat="1" ht="18.75" customHeight="1"/>
    <row r="96" spans="1:11" s="100" customFormat="1" ht="18.75" customHeight="1"/>
    <row r="97" s="100" customFormat="1" ht="18.75" customHeight="1"/>
    <row r="98" s="100" customFormat="1" ht="18.75" customHeight="1"/>
    <row r="99" s="100" customFormat="1" ht="18.75" customHeight="1"/>
    <row r="100" s="100" customFormat="1" ht="18.75" customHeight="1"/>
    <row r="101" s="100" customFormat="1" ht="12.75"/>
    <row r="102" s="100" customFormat="1" ht="12.75"/>
    <row r="103" s="100" customFormat="1" ht="12.75"/>
    <row r="104" s="100" customFormat="1" ht="12.75"/>
    <row r="105" s="100" customFormat="1" ht="12.75"/>
    <row r="106" s="100" customFormat="1" ht="12.75"/>
    <row r="107" s="100" customFormat="1" ht="12.75"/>
    <row r="108" s="100" customFormat="1" ht="12.75"/>
    <row r="109" s="100" customFormat="1" ht="12.75"/>
    <row r="110" s="100" customFormat="1" ht="12.75"/>
    <row r="111" s="100" customFormat="1" ht="12.75"/>
    <row r="112" s="100" customFormat="1" ht="12.75"/>
    <row r="113" s="100" customFormat="1" ht="12.75"/>
    <row r="114" s="100" customFormat="1" ht="12.75"/>
    <row r="115" s="100" customFormat="1" ht="12.75"/>
    <row r="116" s="100" customFormat="1" ht="12.75"/>
    <row r="117" s="100" customFormat="1" ht="12.75"/>
    <row r="118" s="100" customFormat="1" ht="12.75"/>
    <row r="119" s="100" customFormat="1" ht="12.75"/>
    <row r="120" s="100" customFormat="1" ht="12.75"/>
    <row r="121" s="100" customFormat="1" ht="12.75"/>
    <row r="122" s="100" customFormat="1" ht="12.75"/>
    <row r="123" s="100" customFormat="1" ht="12.75"/>
    <row r="124" s="100" customFormat="1" ht="12.75"/>
    <row r="125" s="100" customFormat="1" ht="12.75"/>
    <row r="126" s="100" customFormat="1" ht="12.75"/>
    <row r="127" s="100" customFormat="1" ht="12.75"/>
    <row r="128" s="100" customFormat="1" ht="12.75"/>
    <row r="129" s="100" customFormat="1" ht="12.75"/>
    <row r="130" s="100" customFormat="1" ht="12.75"/>
    <row r="131" s="100" customFormat="1" ht="12.75"/>
    <row r="132" s="100" customFormat="1" ht="12.75"/>
    <row r="133" s="100" customFormat="1" ht="12.75"/>
    <row r="134" s="100" customFormat="1" ht="12.75"/>
    <row r="135" s="100" customFormat="1" ht="12.75"/>
    <row r="136" s="100" customFormat="1" ht="12.75"/>
    <row r="137" s="100" customFormat="1" ht="12.75"/>
    <row r="138" s="100" customFormat="1" ht="12.75"/>
    <row r="139" s="100" customFormat="1" ht="12.75"/>
    <row r="140" s="100" customFormat="1" ht="12.75"/>
    <row r="141" s="100" customFormat="1" ht="12.75"/>
    <row r="142" s="100" customFormat="1" ht="12.75"/>
    <row r="143" s="100" customFormat="1" ht="12.75"/>
    <row r="144" s="100" customFormat="1" ht="12.75"/>
    <row r="145" s="100" customFormat="1" ht="12.75"/>
    <row r="146" s="100" customFormat="1" ht="12.75"/>
    <row r="147" s="100" customFormat="1" ht="12.75"/>
    <row r="148" s="100" customFormat="1" ht="12.75"/>
    <row r="149" s="100" customFormat="1" ht="12.75"/>
    <row r="150" s="100" customFormat="1" ht="12.75"/>
    <row r="151" s="100" customFormat="1" ht="12.75"/>
    <row r="152" s="100" customFormat="1" ht="12.75"/>
    <row r="153" s="100" customFormat="1" ht="12.75"/>
    <row r="154" s="100" customFormat="1" ht="12.75"/>
    <row r="155" s="100" customFormat="1" ht="12.75"/>
    <row r="156" s="100" customFormat="1" ht="12.75"/>
    <row r="157" s="100" customFormat="1" ht="12.75"/>
    <row r="158" s="100" customFormat="1" ht="12.75"/>
  </sheetData>
  <mergeCells count="24">
    <mergeCell ref="A83:G83"/>
    <mergeCell ref="D90:E90"/>
    <mergeCell ref="A92:G92"/>
    <mergeCell ref="D47:F47"/>
    <mergeCell ref="D55:F55"/>
    <mergeCell ref="D57:F57"/>
    <mergeCell ref="A65:C65"/>
    <mergeCell ref="D81:E81"/>
    <mergeCell ref="S38:T38"/>
    <mergeCell ref="U38:V38"/>
    <mergeCell ref="W38:X38"/>
    <mergeCell ref="A40:C40"/>
    <mergeCell ref="D45:F45"/>
    <mergeCell ref="J18:L18"/>
    <mergeCell ref="J22:L22"/>
    <mergeCell ref="J27:L27"/>
    <mergeCell ref="A29:B29"/>
    <mergeCell ref="Q38:R38"/>
    <mergeCell ref="A1:H1"/>
    <mergeCell ref="S4:W4"/>
    <mergeCell ref="J9:L9"/>
    <mergeCell ref="M9:O9"/>
    <mergeCell ref="J13:L13"/>
    <mergeCell ref="M13:O13"/>
  </mergeCells>
  <phoneticPr fontId="80" type="noConversion"/>
  <conditionalFormatting sqref="A83:G83">
    <cfRule type="containsText" dxfId="54" priority="3" operator="containsText" text="强度不满足要求">
      <formula>NOT(ISERROR(SEARCH("强度不满足要求",A83)))</formula>
    </cfRule>
  </conditionalFormatting>
  <conditionalFormatting sqref="A92:G92">
    <cfRule type="containsText" dxfId="53" priority="1" operator="containsText" text="稳定不满足要求">
      <formula>NOT(ISERROR(SEARCH("稳定不满足要求",A92)))</formula>
    </cfRule>
    <cfRule type="containsText" dxfId="52" priority="2" operator="containsText" text="强度不满足要求">
      <formula>NOT(ISERROR(SEARCH("强度不满足要求",A92)))</formula>
    </cfRule>
  </conditionalFormatting>
  <dataValidations count="6">
    <dataValidation type="list" allowBlank="1" showInputMessage="1" showErrorMessage="1" sqref="D8" xr:uid="{00000000-0002-0000-0C00-000000000000}">
      <formula1>$AB$67:$AB$72</formula1>
    </dataValidation>
    <dataValidation type="list" allowBlank="1" showInputMessage="1" showErrorMessage="1" sqref="D14" xr:uid="{00000000-0002-0000-0C00-000001000000}">
      <formula1>"自定义,自动"</formula1>
    </dataValidation>
    <dataValidation type="list" allowBlank="1" showInputMessage="1" showErrorMessage="1" sqref="D44" xr:uid="{00000000-0002-0000-0C00-000002000000}">
      <formula1>$P$40:$P$43</formula1>
    </dataValidation>
    <dataValidation type="list" allowBlank="1" showInputMessage="1" showErrorMessage="1" sqref="D70" xr:uid="{00000000-0002-0000-0C00-000003000000}">
      <formula1>"C型钢"</formula1>
    </dataValidation>
    <dataValidation type="list" allowBlank="1" showInputMessage="1" showErrorMessage="1" sqref="D71" xr:uid="{00000000-0002-0000-0C00-000004000000}">
      <formula1>$K$68:$K$78</formula1>
    </dataValidation>
    <dataValidation type="list" allowBlank="1" showInputMessage="1" showErrorMessage="1" sqref="D79" xr:uid="{00000000-0002-0000-0C00-000005000000}">
      <formula1>$AE$67:$AE$70</formula1>
    </dataValidation>
  </dataValidations>
  <pageMargins left="0.7" right="0.7" top="0.38" bottom="0.28000000000000003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J158"/>
  <sheetViews>
    <sheetView showGridLines="0" zoomScale="130" zoomScaleNormal="130" workbookViewId="0">
      <selection activeCell="H8" sqref="H8"/>
    </sheetView>
  </sheetViews>
  <sheetFormatPr defaultColWidth="9" defaultRowHeight="14.25"/>
  <cols>
    <col min="1" max="2" width="9" style="1"/>
    <col min="3" max="3" width="18.125" style="1" customWidth="1"/>
    <col min="4" max="4" width="14.25" style="1" customWidth="1"/>
    <col min="5" max="8" width="9" style="1"/>
    <col min="9" max="10" width="9" style="1" customWidth="1"/>
    <col min="11" max="11" width="13.25" style="1" customWidth="1"/>
    <col min="12" max="13" width="9" style="1" customWidth="1"/>
    <col min="14" max="14" width="12.75" style="1" customWidth="1"/>
    <col min="15" max="49" width="9" style="1" customWidth="1"/>
    <col min="50" max="50" width="9.375" style="1" customWidth="1"/>
    <col min="51" max="54" width="9" style="1" customWidth="1"/>
    <col min="55" max="55" width="9.375" style="1" customWidth="1"/>
    <col min="56" max="67" width="9" style="1" customWidth="1"/>
    <col min="68" max="16384" width="9" style="1"/>
  </cols>
  <sheetData>
    <row r="1" spans="1:23" ht="23.25">
      <c r="A1" s="362" t="s">
        <v>644</v>
      </c>
      <c r="B1" s="362"/>
      <c r="C1" s="362"/>
      <c r="D1" s="362"/>
      <c r="E1" s="362"/>
      <c r="F1" s="362"/>
      <c r="G1" s="362"/>
      <c r="H1" s="362"/>
      <c r="Q1" s="1" t="s">
        <v>645</v>
      </c>
      <c r="R1" s="1" t="s">
        <v>646</v>
      </c>
    </row>
    <row r="2" spans="1:23" s="100" customFormat="1" ht="18.75" customHeight="1"/>
    <row r="3" spans="1:23" s="100" customFormat="1" ht="18.75" customHeight="1">
      <c r="A3" s="100" t="s">
        <v>66</v>
      </c>
    </row>
    <row r="4" spans="1:23" s="100" customFormat="1" ht="18.75" customHeight="1">
      <c r="C4" s="100" t="s">
        <v>647</v>
      </c>
      <c r="D4" s="151">
        <v>0.47</v>
      </c>
      <c r="E4" s="107" t="s">
        <v>339</v>
      </c>
      <c r="I4" s="175"/>
      <c r="J4" s="175"/>
      <c r="K4" s="176" t="s">
        <v>648</v>
      </c>
      <c r="L4" s="175"/>
      <c r="M4" s="175"/>
      <c r="N4" s="175"/>
      <c r="O4" s="175"/>
      <c r="S4" s="363" t="s">
        <v>649</v>
      </c>
      <c r="T4" s="363"/>
      <c r="U4" s="363"/>
      <c r="V4" s="363"/>
      <c r="W4" s="363"/>
    </row>
    <row r="5" spans="1:23" s="100" customFormat="1" ht="18.75" customHeight="1">
      <c r="C5" s="100" t="s">
        <v>650</v>
      </c>
      <c r="D5" s="151">
        <v>0.33</v>
      </c>
      <c r="E5" s="107" t="s">
        <v>339</v>
      </c>
      <c r="I5" s="175"/>
      <c r="J5" s="175"/>
      <c r="K5" s="177" t="s">
        <v>651</v>
      </c>
      <c r="L5" s="177" t="s">
        <v>652</v>
      </c>
      <c r="M5" s="175" t="s">
        <v>91</v>
      </c>
      <c r="N5" s="175" t="s">
        <v>18</v>
      </c>
      <c r="O5" s="175"/>
      <c r="S5" s="181">
        <v>15</v>
      </c>
      <c r="T5" s="181">
        <v>20</v>
      </c>
      <c r="U5" s="181">
        <v>30</v>
      </c>
      <c r="V5" s="181">
        <v>40</v>
      </c>
      <c r="W5" s="181">
        <v>55</v>
      </c>
    </row>
    <row r="6" spans="1:23" s="100" customFormat="1" ht="18.75" customHeight="1">
      <c r="C6" s="100" t="s">
        <v>653</v>
      </c>
      <c r="D6" s="151">
        <v>18</v>
      </c>
      <c r="E6" s="174">
        <v>0</v>
      </c>
      <c r="I6" s="175"/>
      <c r="J6" s="175"/>
      <c r="K6" s="177" t="s">
        <v>654</v>
      </c>
      <c r="L6" s="178">
        <v>0.83</v>
      </c>
      <c r="M6" s="175">
        <v>1.8</v>
      </c>
      <c r="N6" s="175">
        <v>1.4</v>
      </c>
      <c r="O6" s="175"/>
      <c r="S6" s="181">
        <v>0.8</v>
      </c>
      <c r="T6" s="181">
        <v>0.85</v>
      </c>
      <c r="U6" s="181">
        <v>1</v>
      </c>
      <c r="V6" s="181">
        <v>1.3</v>
      </c>
      <c r="W6" s="181">
        <v>1.3</v>
      </c>
    </row>
    <row r="7" spans="1:23" s="100" customFormat="1" ht="18.75" customHeight="1">
      <c r="C7" s="100" t="s">
        <v>655</v>
      </c>
      <c r="D7" s="151">
        <v>2.95</v>
      </c>
      <c r="E7" s="107" t="s">
        <v>36</v>
      </c>
      <c r="I7" s="175"/>
      <c r="J7" s="175"/>
      <c r="K7" s="177" t="s">
        <v>656</v>
      </c>
      <c r="L7" s="178">
        <v>-0.98</v>
      </c>
      <c r="M7" s="175">
        <v>-1.6</v>
      </c>
      <c r="N7" s="175">
        <v>-1.5</v>
      </c>
      <c r="O7" s="175"/>
      <c r="S7" s="181">
        <v>-0.95</v>
      </c>
      <c r="T7" s="181">
        <v>-1</v>
      </c>
      <c r="U7" s="181">
        <v>-1.3</v>
      </c>
      <c r="V7" s="181">
        <v>-1.6</v>
      </c>
      <c r="W7" s="181">
        <v>-1.6</v>
      </c>
    </row>
    <row r="8" spans="1:23" s="100" customFormat="1" ht="18.75" customHeight="1">
      <c r="C8" s="100" t="s">
        <v>657</v>
      </c>
      <c r="D8" s="151">
        <v>0</v>
      </c>
      <c r="E8" s="107"/>
      <c r="I8" s="175"/>
      <c r="J8" s="175" t="s">
        <v>654</v>
      </c>
      <c r="K8" s="175"/>
      <c r="L8" s="175"/>
      <c r="M8" s="175" t="s">
        <v>656</v>
      </c>
      <c r="N8" s="175"/>
      <c r="O8" s="175"/>
    </row>
    <row r="9" spans="1:23" s="100" customFormat="1" ht="18.75" customHeight="1">
      <c r="C9" s="100" t="s">
        <v>517</v>
      </c>
      <c r="D9" s="151">
        <v>1.1339999999999999</v>
      </c>
      <c r="E9" s="107" t="s">
        <v>36</v>
      </c>
      <c r="I9" s="175" t="s">
        <v>91</v>
      </c>
      <c r="J9" s="364" t="s">
        <v>658</v>
      </c>
      <c r="K9" s="364"/>
      <c r="L9" s="364"/>
      <c r="M9" s="364" t="s">
        <v>658</v>
      </c>
      <c r="N9" s="364"/>
      <c r="O9" s="364"/>
    </row>
    <row r="10" spans="1:23" s="100" customFormat="1" ht="18.75" customHeight="1">
      <c r="C10" s="100" t="s">
        <v>659</v>
      </c>
      <c r="D10" s="151">
        <v>2.4649999999999999</v>
      </c>
      <c r="E10" s="107" t="s">
        <v>36</v>
      </c>
      <c r="I10" s="175"/>
      <c r="J10" s="178">
        <v>22.5</v>
      </c>
      <c r="K10" s="178">
        <v>30</v>
      </c>
      <c r="L10" s="178">
        <v>25</v>
      </c>
      <c r="M10" s="178">
        <v>22.5</v>
      </c>
      <c r="N10" s="178">
        <v>30</v>
      </c>
      <c r="O10" s="178">
        <v>25</v>
      </c>
    </row>
    <row r="11" spans="1:23" s="100" customFormat="1" ht="18.75" customHeight="1">
      <c r="C11" s="100" t="s">
        <v>660</v>
      </c>
      <c r="D11" s="151">
        <v>38</v>
      </c>
      <c r="E11" s="107" t="s">
        <v>661</v>
      </c>
      <c r="I11" s="175"/>
      <c r="J11" s="178">
        <v>1.75</v>
      </c>
      <c r="K11" s="178">
        <v>2.1</v>
      </c>
      <c r="L11" s="179">
        <f>TREND(J11:K11,J10:K10,L10)</f>
        <v>1.86666666666667</v>
      </c>
      <c r="M11" s="178">
        <v>1.55</v>
      </c>
      <c r="N11" s="178">
        <v>1.8</v>
      </c>
      <c r="O11" s="179">
        <f>TREND(M11:N11,M10:N10,O10)</f>
        <v>1.63333333333333</v>
      </c>
    </row>
    <row r="12" spans="1:23" s="100" customFormat="1" ht="18.75" customHeight="1">
      <c r="C12" s="100" t="s">
        <v>662</v>
      </c>
      <c r="D12" s="100">
        <f>D9*D10</f>
        <v>2.7953100000000002</v>
      </c>
      <c r="E12" s="107" t="s">
        <v>100</v>
      </c>
      <c r="I12" s="175"/>
      <c r="J12" s="175"/>
      <c r="K12" s="175"/>
      <c r="L12" s="175"/>
      <c r="M12" s="175"/>
      <c r="N12" s="175"/>
      <c r="O12" s="175"/>
    </row>
    <row r="13" spans="1:23" s="100" customFormat="1" ht="18.75" customHeight="1">
      <c r="A13" s="107" t="s">
        <v>663</v>
      </c>
      <c r="B13" s="107"/>
      <c r="C13" s="107"/>
      <c r="D13" s="107"/>
      <c r="E13" s="107"/>
      <c r="F13" s="107"/>
      <c r="G13" s="107"/>
      <c r="H13" s="107"/>
      <c r="I13" s="175" t="s">
        <v>18</v>
      </c>
      <c r="J13" s="364" t="s">
        <v>658</v>
      </c>
      <c r="K13" s="364"/>
      <c r="L13" s="364"/>
      <c r="M13" s="364" t="s">
        <v>658</v>
      </c>
      <c r="N13" s="364"/>
      <c r="O13" s="364"/>
    </row>
    <row r="14" spans="1:23" s="100" customFormat="1" ht="18.75" customHeight="1">
      <c r="A14" s="103"/>
      <c r="B14" s="103"/>
      <c r="C14" s="100" t="s">
        <v>664</v>
      </c>
      <c r="D14" s="151" t="s">
        <v>253</v>
      </c>
      <c r="E14" s="103"/>
      <c r="F14" s="103"/>
      <c r="G14" s="103"/>
      <c r="H14" s="103"/>
      <c r="I14" s="175"/>
      <c r="J14" s="178">
        <v>22.5</v>
      </c>
      <c r="K14" s="178">
        <v>30</v>
      </c>
      <c r="L14" s="178">
        <v>25</v>
      </c>
      <c r="M14" s="178">
        <v>22.5</v>
      </c>
      <c r="N14" s="178">
        <v>30</v>
      </c>
      <c r="O14" s="178">
        <v>25</v>
      </c>
    </row>
    <row r="15" spans="1:23" s="100" customFormat="1" ht="18.75" customHeight="1">
      <c r="C15" s="100" t="s">
        <v>665</v>
      </c>
      <c r="D15" s="163">
        <f>D16*D17*D18*D19*D4</f>
        <v>0.729487</v>
      </c>
      <c r="E15" s="100" t="s">
        <v>339</v>
      </c>
      <c r="I15" s="175"/>
      <c r="J15" s="178">
        <v>1.35</v>
      </c>
      <c r="K15" s="178">
        <v>1.5</v>
      </c>
      <c r="L15" s="179">
        <f>TREND(J15:K15,J14:K14,L14)</f>
        <v>1.4</v>
      </c>
      <c r="M15" s="178">
        <v>1.45</v>
      </c>
      <c r="N15" s="178">
        <v>1.8</v>
      </c>
      <c r="O15" s="179">
        <f>TREND(M15:N15,M14:N14,O14)</f>
        <v>1.56666666666667</v>
      </c>
      <c r="Q15" s="100" t="s">
        <v>364</v>
      </c>
      <c r="R15" s="100" t="s">
        <v>666</v>
      </c>
      <c r="S15" s="100" t="s">
        <v>667</v>
      </c>
    </row>
    <row r="16" spans="1:23" s="100" customFormat="1" ht="18.75" customHeight="1">
      <c r="C16" s="115" t="s">
        <v>668</v>
      </c>
      <c r="D16" s="151">
        <v>1</v>
      </c>
      <c r="Q16" s="100">
        <v>5</v>
      </c>
      <c r="R16" s="100">
        <v>0.1</v>
      </c>
      <c r="S16" s="100">
        <v>-0.5</v>
      </c>
    </row>
    <row r="17" spans="1:19" s="100" customFormat="1" ht="18.75" customHeight="1">
      <c r="C17" s="115" t="s">
        <v>669</v>
      </c>
      <c r="D17" s="151">
        <v>1.7</v>
      </c>
      <c r="Q17" s="100">
        <v>10</v>
      </c>
      <c r="R17" s="100">
        <v>0.25</v>
      </c>
      <c r="S17" s="100">
        <v>-0.65</v>
      </c>
    </row>
    <row r="18" spans="1:19" s="100" customFormat="1" ht="18.75" customHeight="1">
      <c r="C18" s="115" t="s">
        <v>670</v>
      </c>
      <c r="D18" s="163">
        <v>1.1000000000000001</v>
      </c>
      <c r="J18" s="365" t="s">
        <v>658</v>
      </c>
      <c r="K18" s="365"/>
      <c r="L18" s="365"/>
      <c r="Q18" s="100">
        <v>20</v>
      </c>
      <c r="R18" s="100">
        <v>0.6</v>
      </c>
      <c r="S18" s="100">
        <v>-1</v>
      </c>
    </row>
    <row r="19" spans="1:19" s="100" customFormat="1" ht="18.75" customHeight="1">
      <c r="C19" s="115" t="s">
        <v>671</v>
      </c>
      <c r="D19" s="163">
        <f>IF(D14="自定义",L6,L20)</f>
        <v>0.83</v>
      </c>
      <c r="J19" s="180">
        <f>IF(D6&lt;5,5,IF(D6&gt;55,55,INDEX($Q$16:$Q$21,MATCH(D6,$Q$16:$Q$21),1)))</f>
        <v>10</v>
      </c>
      <c r="K19" s="180">
        <f>IF(D6&lt;5,5,IF(D6&gt;54.9,55,INDEX($Q$16:$Q$20,MATCH(D6,$Q$16:$Q$20)+1,1)))</f>
        <v>20</v>
      </c>
      <c r="L19" s="180">
        <f>$D$6</f>
        <v>18</v>
      </c>
      <c r="Q19" s="100">
        <v>30</v>
      </c>
      <c r="R19" s="100">
        <v>1</v>
      </c>
      <c r="S19" s="100">
        <v>-1.3</v>
      </c>
    </row>
    <row r="20" spans="1:19" s="100" customFormat="1" ht="18.75" customHeight="1">
      <c r="A20" s="107" t="s">
        <v>672</v>
      </c>
      <c r="B20" s="107"/>
      <c r="C20" s="107"/>
      <c r="D20" s="107"/>
      <c r="E20" s="107"/>
      <c r="F20" s="107"/>
      <c r="G20" s="107"/>
      <c r="H20" s="107"/>
      <c r="J20" s="180">
        <f>VLOOKUP(J19,$Q$16:$S$21,2,FALSE)</f>
        <v>0.25</v>
      </c>
      <c r="K20" s="180">
        <f>VLOOKUP(K19,$Q$16:$S$21,2,FALSE)</f>
        <v>0.6</v>
      </c>
      <c r="L20" s="180">
        <f>TREND(J20:K20,J19:K19,L19)</f>
        <v>0.53</v>
      </c>
      <c r="Q20" s="100">
        <v>40</v>
      </c>
      <c r="R20" s="100">
        <v>1.3</v>
      </c>
      <c r="S20" s="100">
        <v>-1.6</v>
      </c>
    </row>
    <row r="21" spans="1:19" s="100" customFormat="1" ht="18.75" customHeight="1">
      <c r="C21" s="100" t="s">
        <v>673</v>
      </c>
      <c r="D21" s="163">
        <f>D22*D23*D24*D25*D4</f>
        <v>-0.86132200000000003</v>
      </c>
      <c r="E21" s="100" t="s">
        <v>339</v>
      </c>
      <c r="Q21" s="100">
        <v>55</v>
      </c>
      <c r="R21" s="100">
        <v>1.3</v>
      </c>
      <c r="S21" s="100">
        <v>-1.6</v>
      </c>
    </row>
    <row r="22" spans="1:19" s="100" customFormat="1" ht="18.75" customHeight="1">
      <c r="C22" s="115" t="s">
        <v>668</v>
      </c>
      <c r="D22" s="151">
        <v>1</v>
      </c>
      <c r="J22" s="365" t="s">
        <v>658</v>
      </c>
      <c r="K22" s="365"/>
      <c r="L22" s="365"/>
    </row>
    <row r="23" spans="1:19" s="100" customFormat="1" ht="18.75" customHeight="1">
      <c r="C23" s="115" t="s">
        <v>669</v>
      </c>
      <c r="D23" s="163">
        <v>1.7</v>
      </c>
      <c r="J23" s="180">
        <f>IF(D6&lt;5,5,IF(D6&gt;55,55,INDEX($Q$16:$Q$20,MATCH(D6,$Q$16:$Q$20),1)))</f>
        <v>10</v>
      </c>
      <c r="K23" s="180">
        <f>IF(D6&lt;5,5,IF(D6&gt;54.9,55,INDEX($Q$16:$Q$20,MATCH(D6,$Q$16:$Q$20)+1,1)))</f>
        <v>20</v>
      </c>
      <c r="L23" s="180">
        <f>$D$6</f>
        <v>18</v>
      </c>
    </row>
    <row r="24" spans="1:19" s="100" customFormat="1" ht="18.75" customHeight="1">
      <c r="C24" s="115" t="s">
        <v>670</v>
      </c>
      <c r="D24" s="163">
        <v>1.1000000000000001</v>
      </c>
      <c r="J24" s="180">
        <f>VLOOKUP(J23,$Q$16:$S$21,3,FALSE)</f>
        <v>-0.65</v>
      </c>
      <c r="K24" s="180">
        <f>VLOOKUP(K23,$Q$16:$S$21,3,FALSE)</f>
        <v>-1</v>
      </c>
      <c r="L24" s="180">
        <f>TREND(J24:K24,J23:K23,L23)</f>
        <v>-0.93</v>
      </c>
    </row>
    <row r="25" spans="1:19" s="100" customFormat="1" ht="18.75" customHeight="1">
      <c r="C25" s="115" t="s">
        <v>671</v>
      </c>
      <c r="D25" s="163">
        <f>IF(D14="自定义",L7,L24)</f>
        <v>-0.98</v>
      </c>
      <c r="Q25" s="100" t="s">
        <v>364</v>
      </c>
      <c r="R25" s="100" t="s">
        <v>365</v>
      </c>
    </row>
    <row r="26" spans="1:19" s="100" customFormat="1" ht="18.75" customHeight="1">
      <c r="A26" s="100" t="s">
        <v>674</v>
      </c>
      <c r="Q26" s="100">
        <v>25</v>
      </c>
      <c r="R26" s="100">
        <v>1</v>
      </c>
    </row>
    <row r="27" spans="1:19" s="100" customFormat="1" ht="18.75" customHeight="1">
      <c r="C27" s="100" t="s">
        <v>675</v>
      </c>
      <c r="D27" s="163">
        <f>D5*D28</f>
        <v>0.33</v>
      </c>
      <c r="E27" s="107" t="s">
        <v>339</v>
      </c>
      <c r="J27" s="365" t="s">
        <v>658</v>
      </c>
      <c r="K27" s="365"/>
      <c r="L27" s="365"/>
      <c r="Q27" s="100">
        <v>30</v>
      </c>
      <c r="R27" s="100">
        <v>0.8</v>
      </c>
    </row>
    <row r="28" spans="1:19" s="100" customFormat="1" ht="18.75" customHeight="1">
      <c r="C28" s="100" t="s">
        <v>361</v>
      </c>
      <c r="D28" s="163">
        <f>L29</f>
        <v>1</v>
      </c>
      <c r="J28" s="180">
        <f>IF(D6&lt;25,25,IF(D6&gt;49.9,50,INDEX($Q$26:$Q$31,MATCH(D6,$Q$26:$Q$31),1)))</f>
        <v>25</v>
      </c>
      <c r="K28" s="180">
        <f>IF(D6&lt;25,25,IF(D6&gt;49.9,50,INDEX($Q$26:$Q$31,MATCH(D6,$Q$26:$Q$31)+1,1)))</f>
        <v>25</v>
      </c>
      <c r="L28" s="180">
        <f>$D$6</f>
        <v>18</v>
      </c>
      <c r="Q28" s="100">
        <v>35</v>
      </c>
      <c r="R28" s="100">
        <v>0.6</v>
      </c>
    </row>
    <row r="29" spans="1:19" s="100" customFormat="1" ht="18.75" customHeight="1">
      <c r="A29" s="366" t="s">
        <v>676</v>
      </c>
      <c r="B29" s="366"/>
      <c r="J29" s="180">
        <f>VLOOKUP(J28,$Q$26:$R$31,2,FALSE)</f>
        <v>1</v>
      </c>
      <c r="K29" s="180">
        <f>VLOOKUP(K28,$Q$26:$R$31,2,FALSE)</f>
        <v>1</v>
      </c>
      <c r="L29" s="180">
        <f>TREND(J29:K29,J28:K28,L28)</f>
        <v>1</v>
      </c>
      <c r="Q29" s="100">
        <v>40</v>
      </c>
      <c r="R29" s="100">
        <v>0.4</v>
      </c>
    </row>
    <row r="30" spans="1:19" s="100" customFormat="1" ht="18.75" customHeight="1">
      <c r="B30" s="167" t="s">
        <v>677</v>
      </c>
      <c r="C30" s="167" t="s">
        <v>678</v>
      </c>
      <c r="Q30" s="100">
        <v>45</v>
      </c>
      <c r="R30" s="100">
        <v>0.2</v>
      </c>
    </row>
    <row r="31" spans="1:19" s="100" customFormat="1" ht="18.75" customHeight="1">
      <c r="C31" s="115" t="s">
        <v>679</v>
      </c>
      <c r="D31" s="163">
        <f>ROUND(D11/100/D9/2,3)</f>
        <v>0.16800000000000001</v>
      </c>
      <c r="E31" s="103" t="s">
        <v>155</v>
      </c>
      <c r="Q31" s="100">
        <v>50</v>
      </c>
      <c r="R31" s="100">
        <v>0</v>
      </c>
    </row>
    <row r="32" spans="1:19" s="100" customFormat="1" ht="18.75" customHeight="1">
      <c r="C32" s="115" t="s">
        <v>680</v>
      </c>
      <c r="D32" s="163">
        <f>ROUND(D15*D12/D9/2,3)</f>
        <v>0.89900000000000002</v>
      </c>
      <c r="E32" s="103" t="s">
        <v>155</v>
      </c>
    </row>
    <row r="33" spans="1:45" s="100" customFormat="1" ht="18.75" customHeight="1">
      <c r="C33" s="115" t="s">
        <v>681</v>
      </c>
      <c r="D33" s="163">
        <f>ROUND(D21*D12/D9/2,3)</f>
        <v>-1.0620000000000001</v>
      </c>
      <c r="E33" s="103" t="s">
        <v>155</v>
      </c>
    </row>
    <row r="34" spans="1:45" s="100" customFormat="1" ht="18.75" customHeight="1">
      <c r="C34" s="115" t="s">
        <v>682</v>
      </c>
      <c r="D34" s="163">
        <f>ROUND(D27*D12/D9/2,3)</f>
        <v>0.40699999999999997</v>
      </c>
      <c r="E34" s="103" t="s">
        <v>155</v>
      </c>
    </row>
    <row r="35" spans="1:45" s="100" customFormat="1" ht="18.75" customHeight="1">
      <c r="B35" s="167" t="s">
        <v>683</v>
      </c>
      <c r="C35" s="167" t="s">
        <v>684</v>
      </c>
    </row>
    <row r="36" spans="1:45" s="100" customFormat="1" ht="18.75" customHeight="1">
      <c r="C36" s="115" t="s">
        <v>685</v>
      </c>
      <c r="D36" s="163">
        <f t="shared" ref="D36:D39" si="0">D31*$D$7</f>
        <v>0.49559999999999998</v>
      </c>
      <c r="E36" s="103" t="s">
        <v>315</v>
      </c>
    </row>
    <row r="37" spans="1:45" s="100" customFormat="1" ht="18.75" customHeight="1">
      <c r="C37" s="115" t="s">
        <v>686</v>
      </c>
      <c r="D37" s="163">
        <f t="shared" si="0"/>
        <v>2.65205</v>
      </c>
      <c r="E37" s="103" t="s">
        <v>315</v>
      </c>
      <c r="P37" s="100">
        <v>1</v>
      </c>
      <c r="Q37" s="100">
        <v>2</v>
      </c>
      <c r="R37" s="100">
        <v>3</v>
      </c>
      <c r="S37" s="100">
        <v>4</v>
      </c>
      <c r="T37" s="100">
        <v>5</v>
      </c>
      <c r="U37" s="100">
        <v>6</v>
      </c>
      <c r="V37" s="100">
        <v>7</v>
      </c>
      <c r="W37" s="100">
        <v>8</v>
      </c>
      <c r="X37" s="100">
        <v>9</v>
      </c>
    </row>
    <row r="38" spans="1:45" s="100" customFormat="1" ht="18.75" customHeight="1">
      <c r="C38" s="115" t="s">
        <v>687</v>
      </c>
      <c r="D38" s="163">
        <f t="shared" si="0"/>
        <v>-3.1328999999999998</v>
      </c>
      <c r="E38" s="103" t="s">
        <v>315</v>
      </c>
      <c r="Q38" s="367" t="s">
        <v>347</v>
      </c>
      <c r="R38" s="367"/>
      <c r="S38" s="368" t="s">
        <v>348</v>
      </c>
      <c r="T38" s="368"/>
      <c r="U38" s="369" t="s">
        <v>349</v>
      </c>
      <c r="V38" s="369"/>
      <c r="W38" s="370" t="s">
        <v>350</v>
      </c>
      <c r="X38" s="370"/>
    </row>
    <row r="39" spans="1:45" s="100" customFormat="1" ht="18.75" customHeight="1">
      <c r="C39" s="115" t="s">
        <v>688</v>
      </c>
      <c r="D39" s="163">
        <f t="shared" si="0"/>
        <v>1.20065</v>
      </c>
      <c r="E39" s="103" t="s">
        <v>315</v>
      </c>
      <c r="Q39" s="100" t="s">
        <v>352</v>
      </c>
      <c r="R39" s="100" t="s">
        <v>353</v>
      </c>
      <c r="S39" s="100" t="s">
        <v>354</v>
      </c>
      <c r="T39" s="100" t="s">
        <v>355</v>
      </c>
      <c r="U39" s="100" t="s">
        <v>356</v>
      </c>
      <c r="V39" s="100" t="s">
        <v>357</v>
      </c>
      <c r="W39" s="100" t="s">
        <v>358</v>
      </c>
      <c r="X39" s="100" t="s">
        <v>359</v>
      </c>
    </row>
    <row r="40" spans="1:45" s="100" customFormat="1" ht="18.75" customHeight="1">
      <c r="A40" s="366" t="s">
        <v>689</v>
      </c>
      <c r="B40" s="366"/>
      <c r="C40" s="366"/>
      <c r="P40" s="100">
        <v>2</v>
      </c>
      <c r="Q40" s="100">
        <v>7.0000000000000007E-2</v>
      </c>
      <c r="R40" s="100">
        <v>7.0000000000000007E-2</v>
      </c>
      <c r="S40" s="100">
        <v>-0.125</v>
      </c>
      <c r="T40" s="100">
        <v>-0.125</v>
      </c>
      <c r="U40" s="100">
        <v>0.375</v>
      </c>
      <c r="V40" s="100">
        <v>-0.625</v>
      </c>
      <c r="W40" s="100">
        <v>0.52100000000000002</v>
      </c>
      <c r="X40" s="100">
        <v>0.52100000000000002</v>
      </c>
    </row>
    <row r="41" spans="1:45" s="100" customFormat="1" ht="18.75" customHeight="1">
      <c r="C41" s="115" t="s">
        <v>690</v>
      </c>
      <c r="D41" s="151">
        <v>1.2</v>
      </c>
      <c r="P41" s="100">
        <v>3</v>
      </c>
      <c r="Q41" s="100">
        <v>0.08</v>
      </c>
      <c r="R41" s="100">
        <v>2.5000000000000001E-2</v>
      </c>
      <c r="S41" s="100">
        <v>-0.1</v>
      </c>
      <c r="T41" s="100">
        <v>-0.1</v>
      </c>
      <c r="U41" s="100">
        <v>0.4</v>
      </c>
      <c r="V41" s="100">
        <v>-0.6</v>
      </c>
      <c r="W41" s="100">
        <v>0.67700000000000005</v>
      </c>
      <c r="X41" s="100">
        <v>5.1999999999999998E-2</v>
      </c>
      <c r="AL41" s="107"/>
      <c r="AM41" s="107"/>
      <c r="AN41" s="107"/>
      <c r="AO41" s="107"/>
      <c r="AP41" s="107"/>
      <c r="AQ41" s="107"/>
      <c r="AR41" s="107"/>
      <c r="AS41" s="107"/>
    </row>
    <row r="42" spans="1:45" s="100" customFormat="1" ht="18.75" customHeight="1">
      <c r="C42" s="115" t="s">
        <v>691</v>
      </c>
      <c r="D42" s="151">
        <v>1.4</v>
      </c>
      <c r="P42" s="100">
        <v>4</v>
      </c>
      <c r="Q42" s="100">
        <v>7.6999999999999999E-2</v>
      </c>
      <c r="R42" s="100">
        <v>3.5999999999999997E-2</v>
      </c>
      <c r="S42" s="100">
        <v>-0.107</v>
      </c>
      <c r="T42" s="100">
        <v>-7.0999999999999994E-2</v>
      </c>
      <c r="U42" s="100">
        <v>0.39300000000000002</v>
      </c>
      <c r="V42" s="100">
        <v>-0.60699999999999998</v>
      </c>
      <c r="W42" s="100">
        <v>0.63200000000000001</v>
      </c>
      <c r="X42" s="100">
        <v>0.186</v>
      </c>
    </row>
    <row r="43" spans="1:45" s="100" customFormat="1" ht="18.75" customHeight="1">
      <c r="C43" s="115" t="s">
        <v>692</v>
      </c>
      <c r="D43" s="151">
        <v>0.7</v>
      </c>
      <c r="P43" s="100">
        <v>5</v>
      </c>
      <c r="Q43" s="100">
        <v>7.8E-2</v>
      </c>
      <c r="R43" s="100">
        <v>4.5999999999999999E-2</v>
      </c>
      <c r="S43" s="100">
        <v>-0.105</v>
      </c>
      <c r="T43" s="100">
        <v>-7.9000000000000001E-2</v>
      </c>
      <c r="U43" s="100">
        <v>0.39400000000000002</v>
      </c>
      <c r="V43" s="100">
        <v>-0.60599999999999998</v>
      </c>
      <c r="W43" s="100">
        <v>0.64400000000000002</v>
      </c>
      <c r="X43" s="100">
        <v>0.151</v>
      </c>
    </row>
    <row r="44" spans="1:45" s="100" customFormat="1" ht="18.75" customHeight="1">
      <c r="C44" s="115" t="s">
        <v>693</v>
      </c>
      <c r="D44" s="151">
        <v>5</v>
      </c>
    </row>
    <row r="45" spans="1:45" s="100" customFormat="1" ht="18.75" customHeight="1">
      <c r="B45" s="100" t="s">
        <v>694</v>
      </c>
      <c r="C45" s="100" t="s">
        <v>695</v>
      </c>
      <c r="D45" s="366" t="s">
        <v>696</v>
      </c>
      <c r="E45" s="366"/>
      <c r="F45" s="366"/>
    </row>
    <row r="46" spans="1:45" s="100" customFormat="1" ht="18.75" customHeight="1">
      <c r="C46" s="115" t="s">
        <v>697</v>
      </c>
      <c r="D46" s="163">
        <f>ROUND(D41*(D31+D78)*COS(RADIANS(D6))+D42*D32+D43*D42*D34*COS(RADIANS(D6)),3)</f>
        <v>1.869</v>
      </c>
      <c r="E46" s="103" t="s">
        <v>155</v>
      </c>
    </row>
    <row r="47" spans="1:45" s="100" customFormat="1" ht="18.75" customHeight="1">
      <c r="C47" s="100" t="s">
        <v>698</v>
      </c>
      <c r="D47" s="366" t="s">
        <v>699</v>
      </c>
      <c r="E47" s="366"/>
      <c r="F47" s="366"/>
    </row>
    <row r="48" spans="1:45" s="100" customFormat="1" ht="18.75" customHeight="1">
      <c r="C48" s="115" t="s">
        <v>697</v>
      </c>
      <c r="D48" s="163">
        <f>ROUND(D41*(D31+D78)*SIN(RADIANS(D6))+D43*D42*D34*SIN(RADIANS(D6)),3)</f>
        <v>0.19800000000000001</v>
      </c>
      <c r="E48" s="103" t="s">
        <v>155</v>
      </c>
    </row>
    <row r="49" spans="2:6" s="100" customFormat="1" ht="18.75" customHeight="1">
      <c r="C49" s="115" t="s">
        <v>700</v>
      </c>
      <c r="D49" s="100" t="s">
        <v>701</v>
      </c>
      <c r="E49" s="163">
        <f>ROUND(D53*D46*D7^2,3)</f>
        <v>-1.708</v>
      </c>
      <c r="F49" s="103" t="s">
        <v>400</v>
      </c>
    </row>
    <row r="50" spans="2:6" s="100" customFormat="1" ht="18.75" customHeight="1">
      <c r="C50" s="115" t="s">
        <v>702</v>
      </c>
      <c r="D50" s="100" t="s">
        <v>703</v>
      </c>
      <c r="E50" s="163">
        <f>ROUND(D53*D48*(D7*AC77)^2,3)</f>
        <v>-0.18099999999999999</v>
      </c>
      <c r="F50" s="103" t="s">
        <v>400</v>
      </c>
    </row>
    <row r="51" spans="2:6" s="100" customFormat="1" ht="18.75" customHeight="1">
      <c r="C51" s="115" t="s">
        <v>704</v>
      </c>
      <c r="D51" s="100" t="s">
        <v>705</v>
      </c>
      <c r="E51" s="163">
        <f>ROUND(D54*D46*D7,2)</f>
        <v>-3.34</v>
      </c>
      <c r="F51" s="103" t="s">
        <v>315</v>
      </c>
    </row>
    <row r="52" spans="2:6" s="100" customFormat="1" ht="18.75" customHeight="1">
      <c r="C52" s="115" t="s">
        <v>706</v>
      </c>
      <c r="D52" s="100" t="s">
        <v>707</v>
      </c>
      <c r="E52" s="163">
        <f>ROUND(D54*D48*D7,2)</f>
        <v>-0.35</v>
      </c>
      <c r="F52" s="103" t="s">
        <v>315</v>
      </c>
    </row>
    <row r="53" spans="2:6" s="100" customFormat="1" ht="18.75" customHeight="1">
      <c r="C53" s="115" t="s">
        <v>39</v>
      </c>
      <c r="D53" s="163">
        <f>VLOOKUP(D44,P40:X43,4,FALSE)</f>
        <v>-0.105</v>
      </c>
    </row>
    <row r="54" spans="2:6" s="100" customFormat="1" ht="18.75" customHeight="1">
      <c r="C54" s="115" t="s">
        <v>42</v>
      </c>
      <c r="D54" s="163">
        <f>VLOOKUP(D44,P37:X43,7,FALSE)</f>
        <v>-0.60599999999999998</v>
      </c>
    </row>
    <row r="55" spans="2:6" s="100" customFormat="1" ht="18.75" customHeight="1">
      <c r="B55" s="100" t="s">
        <v>708</v>
      </c>
      <c r="C55" s="100" t="s">
        <v>695</v>
      </c>
      <c r="D55" s="366" t="s">
        <v>709</v>
      </c>
      <c r="E55" s="366"/>
      <c r="F55" s="366"/>
    </row>
    <row r="56" spans="2:6" s="100" customFormat="1" ht="18.75" customHeight="1">
      <c r="C56" s="115" t="s">
        <v>697</v>
      </c>
      <c r="D56" s="163">
        <f>ROUND((D31+D78)*COS(RADIANS(D6))+D42*D33,3)</f>
        <v>-1.2949999999999999</v>
      </c>
      <c r="E56" s="103" t="s">
        <v>155</v>
      </c>
    </row>
    <row r="57" spans="2:6" s="100" customFormat="1" ht="18.75" customHeight="1">
      <c r="C57" s="100" t="s">
        <v>698</v>
      </c>
      <c r="D57" s="366" t="s">
        <v>710</v>
      </c>
      <c r="E57" s="366"/>
      <c r="F57" s="366"/>
    </row>
    <row r="58" spans="2:6" s="100" customFormat="1" ht="18.75" customHeight="1">
      <c r="C58" s="115" t="s">
        <v>697</v>
      </c>
      <c r="D58" s="163">
        <f>ROUND((D31+D78)*SIN(RADIANS(D6)),3)</f>
        <v>6.2E-2</v>
      </c>
      <c r="E58" s="103" t="s">
        <v>155</v>
      </c>
    </row>
    <row r="59" spans="2:6" s="100" customFormat="1" ht="18.75" customHeight="1">
      <c r="C59" s="115" t="s">
        <v>711</v>
      </c>
      <c r="D59" s="100" t="s">
        <v>701</v>
      </c>
      <c r="E59" s="163">
        <f>ROUND(D64*D56*D7^2,3)</f>
        <v>-0.879</v>
      </c>
      <c r="F59" s="103" t="s">
        <v>400</v>
      </c>
    </row>
    <row r="60" spans="2:6" s="100" customFormat="1" ht="18.75" customHeight="1">
      <c r="C60" s="115" t="s">
        <v>712</v>
      </c>
      <c r="D60" s="100" t="s">
        <v>703</v>
      </c>
      <c r="E60" s="163">
        <f>ROUND(D64*D58*(D7*AC77)^2,3)</f>
        <v>4.2000000000000003E-2</v>
      </c>
      <c r="F60" s="103" t="s">
        <v>400</v>
      </c>
    </row>
    <row r="61" spans="2:6" s="100" customFormat="1" ht="18.75" customHeight="1">
      <c r="C61" s="115" t="s">
        <v>704</v>
      </c>
      <c r="D61" s="100" t="s">
        <v>705</v>
      </c>
      <c r="E61" s="163">
        <f>ROUND(D63*D56*D7,2)</f>
        <v>2.3199999999999998</v>
      </c>
      <c r="F61" s="103" t="s">
        <v>315</v>
      </c>
    </row>
    <row r="62" spans="2:6" s="100" customFormat="1" ht="18.75" customHeight="1">
      <c r="C62" s="115" t="s">
        <v>706</v>
      </c>
      <c r="D62" s="100" t="s">
        <v>707</v>
      </c>
      <c r="E62" s="163">
        <f>ROUND(D63*D58*D7,2)</f>
        <v>-0.11</v>
      </c>
      <c r="F62" s="103" t="s">
        <v>315</v>
      </c>
    </row>
    <row r="63" spans="2:6" s="100" customFormat="1" ht="18.75" customHeight="1">
      <c r="C63" s="115" t="s">
        <v>42</v>
      </c>
      <c r="D63" s="100">
        <f>VLOOKUP(D44,P37:X43,7,FALSE)</f>
        <v>-0.60599999999999998</v>
      </c>
    </row>
    <row r="64" spans="2:6" s="100" customFormat="1" ht="18.75" customHeight="1">
      <c r="C64" s="115" t="s">
        <v>45</v>
      </c>
      <c r="D64" s="100">
        <f>VLOOKUP(D44,P37:X43,2,FALSE)</f>
        <v>7.8E-2</v>
      </c>
    </row>
    <row r="65" spans="1:62" s="100" customFormat="1" ht="18.75" customHeight="1">
      <c r="A65" s="366" t="s">
        <v>713</v>
      </c>
      <c r="B65" s="366"/>
      <c r="C65" s="366"/>
      <c r="AE65" s="100">
        <v>1</v>
      </c>
      <c r="AF65" s="100">
        <v>2</v>
      </c>
      <c r="AG65" s="100">
        <v>3</v>
      </c>
      <c r="AH65" s="100">
        <v>4</v>
      </c>
      <c r="AI65" s="100">
        <v>5</v>
      </c>
      <c r="AJ65" s="100">
        <v>6</v>
      </c>
      <c r="AK65" s="100">
        <v>7</v>
      </c>
      <c r="AL65" s="100">
        <v>8</v>
      </c>
    </row>
    <row r="66" spans="1:62" s="100" customFormat="1" ht="18.75" customHeight="1">
      <c r="C66" s="100" t="s">
        <v>714</v>
      </c>
      <c r="D66" s="100">
        <f>ABS(E49)</f>
        <v>1.708</v>
      </c>
      <c r="E66" s="103" t="s">
        <v>400</v>
      </c>
      <c r="J66" s="100" t="s">
        <v>715</v>
      </c>
      <c r="K66" s="100">
        <v>1</v>
      </c>
      <c r="L66" s="100">
        <v>2</v>
      </c>
      <c r="M66" s="100">
        <v>3</v>
      </c>
      <c r="N66" s="100">
        <v>4</v>
      </c>
      <c r="O66" s="100">
        <v>5</v>
      </c>
      <c r="P66" s="100">
        <v>6</v>
      </c>
      <c r="Q66" s="100">
        <v>7</v>
      </c>
      <c r="R66" s="100">
        <v>8</v>
      </c>
      <c r="S66" s="100">
        <v>9</v>
      </c>
      <c r="T66" s="100">
        <v>10</v>
      </c>
      <c r="U66" s="100">
        <v>11</v>
      </c>
      <c r="V66" s="100">
        <v>12</v>
      </c>
      <c r="W66" s="100">
        <v>13</v>
      </c>
      <c r="X66" s="100">
        <v>14</v>
      </c>
      <c r="Y66" s="100">
        <v>15</v>
      </c>
      <c r="AB66" s="100" t="s">
        <v>716</v>
      </c>
      <c r="AF66" s="100" t="s">
        <v>484</v>
      </c>
      <c r="AG66" s="100" t="s">
        <v>717</v>
      </c>
      <c r="AH66" s="100" t="s">
        <v>113</v>
      </c>
      <c r="AI66" s="100" t="s">
        <v>718</v>
      </c>
    </row>
    <row r="67" spans="1:62" s="100" customFormat="1" ht="18.75" customHeight="1">
      <c r="C67" s="100" t="s">
        <v>719</v>
      </c>
      <c r="D67" s="100">
        <f>ABS(E50)</f>
        <v>0.18099999999999999</v>
      </c>
      <c r="E67" s="103" t="s">
        <v>400</v>
      </c>
      <c r="J67" s="100" t="s">
        <v>609</v>
      </c>
      <c r="K67" s="100" t="s">
        <v>72</v>
      </c>
      <c r="L67" s="100" t="s">
        <v>720</v>
      </c>
      <c r="M67" s="100" t="s">
        <v>721</v>
      </c>
      <c r="N67" s="100" t="s">
        <v>717</v>
      </c>
      <c r="O67" s="100" t="s">
        <v>722</v>
      </c>
      <c r="P67" s="100" t="s">
        <v>597</v>
      </c>
      <c r="Q67" s="100" t="s">
        <v>723</v>
      </c>
      <c r="R67" s="100" t="s">
        <v>724</v>
      </c>
      <c r="S67" s="100" t="s">
        <v>725</v>
      </c>
      <c r="T67" s="100" t="s">
        <v>726</v>
      </c>
      <c r="U67" s="100" t="s">
        <v>727</v>
      </c>
      <c r="V67" s="100" t="s">
        <v>728</v>
      </c>
      <c r="W67" s="100" t="s">
        <v>729</v>
      </c>
      <c r="X67" s="100" t="s">
        <v>730</v>
      </c>
      <c r="Y67" s="100" t="s">
        <v>731</v>
      </c>
      <c r="AB67" s="100">
        <v>0</v>
      </c>
      <c r="AC67" s="100">
        <v>1</v>
      </c>
      <c r="AE67" s="100" t="s">
        <v>419</v>
      </c>
      <c r="AF67" s="100">
        <v>205</v>
      </c>
      <c r="AG67" s="100">
        <f t="shared" ref="AG67:AG70" si="1">VLOOKUP($D$71,$K$68:$V$78,4,FALSE)</f>
        <v>2</v>
      </c>
      <c r="AH67" s="100">
        <f t="shared" ref="AH67:AH70" si="2">VLOOKUP($D$71,$K$68:$V$78,7,FALSE)</f>
        <v>434</v>
      </c>
      <c r="AI67" s="100">
        <v>1.58</v>
      </c>
      <c r="AJ67" s="100">
        <f t="shared" ref="AJ67:AJ70" si="3">1+(12*AI67-10)*AG67/(AH67/AG67)</f>
        <v>1.08258064516129</v>
      </c>
      <c r="AK67" s="100">
        <f t="shared" ref="AK67:AK70" si="4">IF(AG67&lt;1.99,AF67,ROUND(AJ67*AF67,3))</f>
        <v>221.929</v>
      </c>
      <c r="AL67" s="100">
        <v>235</v>
      </c>
    </row>
    <row r="68" spans="1:62" s="100" customFormat="1" ht="18.75" customHeight="1">
      <c r="C68" s="100" t="s">
        <v>732</v>
      </c>
      <c r="D68" s="100">
        <f>ABS(E59)</f>
        <v>0.879</v>
      </c>
      <c r="E68" s="103" t="s">
        <v>400</v>
      </c>
      <c r="J68" s="100">
        <v>1</v>
      </c>
      <c r="K68" s="163" t="str">
        <f t="shared" ref="K68:K78" si="5">IF(L68="","","C"&amp;L68&amp;"x"&amp;M68&amp;"x"&amp;O68&amp;"x"&amp;N68)</f>
        <v>C100x50x30x3</v>
      </c>
      <c r="L68" s="164">
        <v>100</v>
      </c>
      <c r="M68" s="164">
        <v>50</v>
      </c>
      <c r="N68" s="164">
        <v>3</v>
      </c>
      <c r="O68" s="164">
        <v>30</v>
      </c>
      <c r="P68" s="100">
        <f t="shared" ref="P68:P78" si="6">Q68*1000*0.00000785</f>
        <v>5.8403999999999998</v>
      </c>
      <c r="Q68" s="100">
        <f t="shared" ref="Q68:Q78" si="7">(L68+2*M68+2*O68-4*N68)*N68</f>
        <v>744</v>
      </c>
      <c r="R68" s="100">
        <f t="shared" ref="R68:R78" si="8">M68*(M68+2*O68)/(L68+2*M68+2*O68)</f>
        <v>21.153846153846199</v>
      </c>
      <c r="S68" s="100">
        <f t="shared" ref="S68:S78" si="9">L68^3*N68/12+(M68-2*N68)*N68^3/6+(L68-N68)^2*N68*(M68-2*N68)/2+O68^3*N68/6+O68*N68*(L68-O68)^2/2</f>
        <v>1105192</v>
      </c>
      <c r="T68" s="100">
        <f t="shared" ref="T68:T78" si="10">N68^3*L68/12+(R68-N68*0.5)^2*L68*N68+O68*N68^3/6+(M68-R68-N68*0.5)^2*O68*N68*2+(R68-N68)^3*N68/6+((R68-N68)*0.5)^2*(R68-N68)*N68*2+(M68-R68-N68)^3*N68/6+((M68-R68-N68)*0.5)^2*(M68-R68-N68)*N68*2</f>
        <v>297345.609467456</v>
      </c>
      <c r="U68" s="100">
        <f t="shared" ref="U68:U78" si="11">S68/(L68*0.5)</f>
        <v>22103.84</v>
      </c>
      <c r="V68" s="100">
        <f t="shared" ref="V68:V78" si="12">T68/(M68-R68)</f>
        <v>10307.9811282051</v>
      </c>
      <c r="W68" s="100">
        <f t="shared" ref="W68:W78" si="13">(M68*L68^2/4+O68*L68^2/2-O68^3*2/3)*N68*M68/S68</f>
        <v>34.880817088795403</v>
      </c>
      <c r="X68" s="100">
        <f t="shared" ref="X68:X78" si="14">(L68+2*M68+2*O68)*N68^3/3</f>
        <v>2340</v>
      </c>
      <c r="Y68" s="100">
        <f t="shared" ref="Y68:Y78" si="15">N68*M68^2*(M68*L68^2+3*O68*L68^2+6*O68^2*L68+4*O68^3)/6-S68*W68^2</f>
        <v>1215344501.2269399</v>
      </c>
      <c r="AB68" s="100">
        <v>1</v>
      </c>
      <c r="AC68" s="100">
        <v>0.5</v>
      </c>
      <c r="AE68" s="100" t="s">
        <v>93</v>
      </c>
      <c r="AF68" s="100">
        <v>300</v>
      </c>
      <c r="AG68" s="100">
        <f t="shared" si="1"/>
        <v>2</v>
      </c>
      <c r="AH68" s="100">
        <f t="shared" si="2"/>
        <v>434</v>
      </c>
      <c r="AI68" s="100">
        <v>1.48</v>
      </c>
      <c r="AJ68" s="100">
        <f t="shared" si="3"/>
        <v>1.07152073732719</v>
      </c>
      <c r="AK68" s="100">
        <f t="shared" si="4"/>
        <v>321.45600000000002</v>
      </c>
      <c r="AL68" s="100">
        <v>345</v>
      </c>
    </row>
    <row r="69" spans="1:62" s="100" customFormat="1" ht="18.75" customHeight="1">
      <c r="C69" s="100" t="s">
        <v>733</v>
      </c>
      <c r="D69" s="100">
        <f>ABS(E60)</f>
        <v>4.2000000000000003E-2</v>
      </c>
      <c r="E69" s="103" t="s">
        <v>400</v>
      </c>
      <c r="J69" s="100">
        <v>2</v>
      </c>
      <c r="K69" s="163" t="str">
        <f t="shared" si="5"/>
        <v>C80x40x15x2</v>
      </c>
      <c r="L69" s="164">
        <v>80</v>
      </c>
      <c r="M69" s="164">
        <v>40</v>
      </c>
      <c r="N69" s="164">
        <v>2</v>
      </c>
      <c r="O69" s="164">
        <v>15</v>
      </c>
      <c r="P69" s="100">
        <f t="shared" si="6"/>
        <v>2.8574000000000002</v>
      </c>
      <c r="Q69" s="100">
        <f t="shared" si="7"/>
        <v>364</v>
      </c>
      <c r="R69" s="100">
        <f t="shared" si="8"/>
        <v>14.7368421052632</v>
      </c>
      <c r="S69" s="100">
        <f t="shared" si="9"/>
        <v>368905.33333333302</v>
      </c>
      <c r="T69" s="100">
        <f t="shared" si="10"/>
        <v>85128.435826408095</v>
      </c>
      <c r="U69" s="100">
        <f t="shared" si="11"/>
        <v>9222.6333333333296</v>
      </c>
      <c r="V69" s="100">
        <f t="shared" si="12"/>
        <v>3369.66725146199</v>
      </c>
      <c r="W69" s="100">
        <f t="shared" si="13"/>
        <v>23.8001438490091</v>
      </c>
      <c r="X69" s="100">
        <f t="shared" si="14"/>
        <v>506.66666666666703</v>
      </c>
      <c r="Y69" s="100">
        <f t="shared" si="15"/>
        <v>145968070.33903301</v>
      </c>
      <c r="AB69" s="100">
        <v>2</v>
      </c>
      <c r="AC69" s="100">
        <f>1/3</f>
        <v>0.33333333333333298</v>
      </c>
      <c r="AE69" s="100" t="s">
        <v>96</v>
      </c>
      <c r="AF69" s="100">
        <v>375</v>
      </c>
      <c r="AG69" s="100">
        <f t="shared" si="1"/>
        <v>2</v>
      </c>
      <c r="AH69" s="100">
        <f t="shared" si="2"/>
        <v>434</v>
      </c>
      <c r="AI69" s="100">
        <v>1.48</v>
      </c>
      <c r="AJ69" s="100">
        <f t="shared" si="3"/>
        <v>1.07152073732719</v>
      </c>
      <c r="AK69" s="100">
        <f t="shared" si="4"/>
        <v>401.82</v>
      </c>
      <c r="AL69" s="100">
        <v>420</v>
      </c>
      <c r="AT69" s="100" t="s">
        <v>734</v>
      </c>
      <c r="AU69" s="100" t="s">
        <v>735</v>
      </c>
    </row>
    <row r="70" spans="1:62" s="100" customFormat="1" ht="18.75" customHeight="1">
      <c r="C70" s="115" t="s">
        <v>103</v>
      </c>
      <c r="D70" s="151" t="s">
        <v>736</v>
      </c>
      <c r="J70" s="100">
        <v>3</v>
      </c>
      <c r="K70" s="163" t="str">
        <f t="shared" si="5"/>
        <v>C80x40x15x1.5</v>
      </c>
      <c r="L70" s="164">
        <v>80</v>
      </c>
      <c r="M70" s="164">
        <v>40</v>
      </c>
      <c r="N70" s="164">
        <v>1.5</v>
      </c>
      <c r="O70" s="164">
        <v>15</v>
      </c>
      <c r="P70" s="100">
        <f t="shared" si="6"/>
        <v>2.1665999999999999</v>
      </c>
      <c r="Q70" s="100">
        <f t="shared" si="7"/>
        <v>276</v>
      </c>
      <c r="R70" s="100">
        <f t="shared" si="8"/>
        <v>14.7368421052632</v>
      </c>
      <c r="S70" s="100">
        <f t="shared" si="9"/>
        <v>283398.25</v>
      </c>
      <c r="T70" s="100">
        <f t="shared" si="10"/>
        <v>66285.060941828197</v>
      </c>
      <c r="U70" s="100">
        <f t="shared" si="11"/>
        <v>7084.9562500000002</v>
      </c>
      <c r="V70" s="100">
        <f t="shared" si="12"/>
        <v>2623.7836622806999</v>
      </c>
      <c r="W70" s="100">
        <f t="shared" si="13"/>
        <v>23.235852726684101</v>
      </c>
      <c r="X70" s="100">
        <f t="shared" si="14"/>
        <v>213.75</v>
      </c>
      <c r="Y70" s="100">
        <f t="shared" si="15"/>
        <v>113191909.79478499</v>
      </c>
      <c r="AB70" s="100">
        <v>3</v>
      </c>
      <c r="AC70" s="100">
        <f>1/4</f>
        <v>0.25</v>
      </c>
      <c r="AE70" s="100" t="s">
        <v>737</v>
      </c>
      <c r="AF70" s="100">
        <v>392</v>
      </c>
      <c r="AG70" s="100">
        <f t="shared" si="1"/>
        <v>2</v>
      </c>
      <c r="AH70" s="100">
        <f t="shared" si="2"/>
        <v>434</v>
      </c>
      <c r="AI70" s="100">
        <v>1.48</v>
      </c>
      <c r="AJ70" s="100">
        <f t="shared" si="3"/>
        <v>1.07152073732719</v>
      </c>
      <c r="AK70" s="100">
        <f t="shared" si="4"/>
        <v>420.036</v>
      </c>
      <c r="AL70" s="100">
        <v>450</v>
      </c>
      <c r="AT70" s="100">
        <v>1.1299999999999999</v>
      </c>
      <c r="AU70" s="100">
        <v>0.46</v>
      </c>
    </row>
    <row r="71" spans="1:62" s="100" customFormat="1" ht="18.75" customHeight="1">
      <c r="C71" s="115" t="s">
        <v>407</v>
      </c>
      <c r="D71" s="151" t="s">
        <v>738</v>
      </c>
      <c r="J71" s="100">
        <v>4</v>
      </c>
      <c r="K71" s="163" t="str">
        <f t="shared" si="5"/>
        <v>C90x50x15x2</v>
      </c>
      <c r="L71" s="164">
        <v>90</v>
      </c>
      <c r="M71" s="164">
        <v>50</v>
      </c>
      <c r="N71" s="164">
        <v>2</v>
      </c>
      <c r="O71" s="164">
        <v>15</v>
      </c>
      <c r="P71" s="100">
        <f t="shared" si="6"/>
        <v>3.3283999999999998</v>
      </c>
      <c r="Q71" s="100">
        <f t="shared" si="7"/>
        <v>424</v>
      </c>
      <c r="R71" s="100">
        <f t="shared" si="8"/>
        <v>18.181818181818201</v>
      </c>
      <c r="S71" s="100">
        <f t="shared" si="9"/>
        <v>563285.33333333302</v>
      </c>
      <c r="T71" s="100">
        <f t="shared" si="10"/>
        <v>151203.349862259</v>
      </c>
      <c r="U71" s="100">
        <f t="shared" si="11"/>
        <v>12517.4518518519</v>
      </c>
      <c r="V71" s="100">
        <f t="shared" si="12"/>
        <v>4752.1052813852803</v>
      </c>
      <c r="W71" s="100">
        <f t="shared" si="13"/>
        <v>28.360404673534301</v>
      </c>
      <c r="X71" s="100">
        <f t="shared" si="14"/>
        <v>586.66666666666697</v>
      </c>
      <c r="Y71" s="100">
        <f t="shared" si="15"/>
        <v>300692535.340289</v>
      </c>
      <c r="AB71" s="100">
        <v>4</v>
      </c>
      <c r="AC71" s="100">
        <f>1/5</f>
        <v>0.2</v>
      </c>
      <c r="AT71" s="100">
        <v>1.35</v>
      </c>
      <c r="AU71" s="100">
        <v>0.14000000000000001</v>
      </c>
    </row>
    <row r="72" spans="1:62" s="100" customFormat="1" ht="18.75" customHeight="1">
      <c r="C72" s="115" t="s">
        <v>739</v>
      </c>
      <c r="D72" s="151">
        <v>0.9</v>
      </c>
      <c r="J72" s="100">
        <v>5</v>
      </c>
      <c r="K72" s="163" t="str">
        <f t="shared" si="5"/>
        <v>C115x40x15x2</v>
      </c>
      <c r="L72" s="164">
        <v>115</v>
      </c>
      <c r="M72" s="164">
        <v>40</v>
      </c>
      <c r="N72" s="164">
        <v>2</v>
      </c>
      <c r="O72" s="164">
        <v>15</v>
      </c>
      <c r="P72" s="100">
        <f t="shared" si="6"/>
        <v>3.4068999999999998</v>
      </c>
      <c r="Q72" s="100">
        <f t="shared" si="7"/>
        <v>434</v>
      </c>
      <c r="R72" s="100">
        <f t="shared" si="8"/>
        <v>12.4444444444444</v>
      </c>
      <c r="S72" s="100">
        <f t="shared" si="9"/>
        <v>864336.16666666698</v>
      </c>
      <c r="T72" s="100">
        <f t="shared" si="10"/>
        <v>96305.283950617304</v>
      </c>
      <c r="U72" s="100">
        <f t="shared" si="11"/>
        <v>15031.9333333333</v>
      </c>
      <c r="V72" s="100">
        <f t="shared" si="12"/>
        <v>3494.9498207885299</v>
      </c>
      <c r="W72" s="100">
        <f t="shared" si="13"/>
        <v>21.2128112962221</v>
      </c>
      <c r="X72" s="100">
        <f t="shared" si="14"/>
        <v>600</v>
      </c>
      <c r="Y72" s="100">
        <f t="shared" si="15"/>
        <v>300596438.21710098</v>
      </c>
      <c r="AB72" s="100">
        <v>5</v>
      </c>
      <c r="AC72" s="100">
        <f>1/6</f>
        <v>0.16666666666666699</v>
      </c>
      <c r="AT72" s="100">
        <v>1.37</v>
      </c>
      <c r="AU72" s="100">
        <v>0.06</v>
      </c>
    </row>
    <row r="73" spans="1:62" s="100" customFormat="1" ht="18.75" customHeight="1">
      <c r="C73" s="115" t="s">
        <v>740</v>
      </c>
      <c r="D73" s="151">
        <v>0.9</v>
      </c>
      <c r="J73" s="100">
        <v>6</v>
      </c>
      <c r="K73" s="163" t="str">
        <f t="shared" si="5"/>
        <v>C115x40x15x2</v>
      </c>
      <c r="L73" s="164">
        <v>115</v>
      </c>
      <c r="M73" s="164">
        <v>40</v>
      </c>
      <c r="N73" s="164">
        <v>2</v>
      </c>
      <c r="O73" s="164">
        <v>15</v>
      </c>
      <c r="P73" s="100">
        <f t="shared" si="6"/>
        <v>3.4068999999999998</v>
      </c>
      <c r="Q73" s="100">
        <f t="shared" si="7"/>
        <v>434</v>
      </c>
      <c r="R73" s="100">
        <f t="shared" si="8"/>
        <v>12.4444444444444</v>
      </c>
      <c r="S73" s="100">
        <f t="shared" si="9"/>
        <v>864336.16666666698</v>
      </c>
      <c r="T73" s="100">
        <f t="shared" si="10"/>
        <v>96305.283950617304</v>
      </c>
      <c r="U73" s="100">
        <f t="shared" si="11"/>
        <v>15031.9333333333</v>
      </c>
      <c r="V73" s="100">
        <f t="shared" si="12"/>
        <v>3494.9498207885299</v>
      </c>
      <c r="W73" s="100">
        <f t="shared" si="13"/>
        <v>21.2128112962221</v>
      </c>
      <c r="X73" s="100">
        <f t="shared" si="14"/>
        <v>600</v>
      </c>
      <c r="Y73" s="100">
        <f t="shared" si="15"/>
        <v>300596438.21710098</v>
      </c>
    </row>
    <row r="74" spans="1:62" s="100" customFormat="1" ht="18.75" customHeight="1">
      <c r="C74" s="115" t="s">
        <v>741</v>
      </c>
      <c r="D74" s="100">
        <f>VLOOKUP(D71,K68:V78,9,FALSE)*D72</f>
        <v>777902.55</v>
      </c>
      <c r="E74" s="103" t="s">
        <v>151</v>
      </c>
      <c r="J74" s="100">
        <v>7</v>
      </c>
      <c r="K74" s="163" t="str">
        <f t="shared" si="5"/>
        <v>C100x40x15x1.8</v>
      </c>
      <c r="L74" s="164">
        <v>100</v>
      </c>
      <c r="M74" s="164">
        <v>40</v>
      </c>
      <c r="N74" s="164">
        <v>1.8</v>
      </c>
      <c r="O74" s="164">
        <v>15</v>
      </c>
      <c r="P74" s="100">
        <f t="shared" si="6"/>
        <v>2.865564</v>
      </c>
      <c r="Q74" s="100">
        <f t="shared" si="7"/>
        <v>365.04</v>
      </c>
      <c r="R74" s="100">
        <f t="shared" si="8"/>
        <v>13.3333333333333</v>
      </c>
      <c r="S74" s="100">
        <f t="shared" si="9"/>
        <v>564497.92319999996</v>
      </c>
      <c r="T74" s="100">
        <f t="shared" si="10"/>
        <v>84033.283200000005</v>
      </c>
      <c r="U74" s="100">
        <f t="shared" si="11"/>
        <v>11289.958463999999</v>
      </c>
      <c r="V74" s="100">
        <f t="shared" si="12"/>
        <v>3151.2481200000002</v>
      </c>
      <c r="W74" s="100">
        <f t="shared" si="13"/>
        <v>22.033739166819299</v>
      </c>
      <c r="X74" s="100">
        <f t="shared" si="14"/>
        <v>408.24</v>
      </c>
      <c r="Y74" s="100">
        <f t="shared" si="15"/>
        <v>205224352.243101</v>
      </c>
    </row>
    <row r="75" spans="1:62" s="100" customFormat="1" ht="18.75" customHeight="1">
      <c r="C75" s="115" t="s">
        <v>742</v>
      </c>
      <c r="D75" s="100">
        <f>VLOOKUP(D71,K68:V78,10,FALSE)*D73</f>
        <v>86674.755555555501</v>
      </c>
      <c r="E75" s="103" t="s">
        <v>151</v>
      </c>
      <c r="J75" s="100">
        <v>8</v>
      </c>
      <c r="K75" s="163" t="str">
        <f t="shared" si="5"/>
        <v>C60x40x10x2</v>
      </c>
      <c r="L75" s="164">
        <v>60</v>
      </c>
      <c r="M75" s="164">
        <v>40</v>
      </c>
      <c r="N75" s="164">
        <v>2</v>
      </c>
      <c r="O75" s="164">
        <v>10</v>
      </c>
      <c r="P75" s="100">
        <f t="shared" si="6"/>
        <v>2.3864000000000001</v>
      </c>
      <c r="Q75" s="100">
        <f t="shared" si="7"/>
        <v>304</v>
      </c>
      <c r="R75" s="100">
        <f t="shared" si="8"/>
        <v>15</v>
      </c>
      <c r="S75" s="100">
        <f t="shared" si="9"/>
        <v>182485.33333333299</v>
      </c>
      <c r="T75" s="100">
        <f t="shared" si="10"/>
        <v>65765.333333333299</v>
      </c>
      <c r="U75" s="100">
        <f t="shared" si="11"/>
        <v>6082.8444444444403</v>
      </c>
      <c r="V75" s="100">
        <f t="shared" si="12"/>
        <v>2630.61333333333</v>
      </c>
      <c r="W75" s="100">
        <f t="shared" si="13"/>
        <v>23.380874444704201</v>
      </c>
      <c r="X75" s="100">
        <f t="shared" si="14"/>
        <v>426.66666666666703</v>
      </c>
      <c r="Y75" s="100">
        <f t="shared" si="15"/>
        <v>55974935.702595301</v>
      </c>
    </row>
    <row r="76" spans="1:62" s="100" customFormat="1" ht="18.75" customHeight="1">
      <c r="C76" s="115" t="s">
        <v>743</v>
      </c>
      <c r="D76" s="100">
        <f>VLOOKUP(D71,K68:V78,11,FALSE)*D72</f>
        <v>13528.74</v>
      </c>
      <c r="E76" s="103" t="s">
        <v>115</v>
      </c>
      <c r="J76" s="100">
        <v>9</v>
      </c>
      <c r="K76" s="163" t="str">
        <f t="shared" si="5"/>
        <v>C120x40x15x2</v>
      </c>
      <c r="L76" s="164">
        <v>120</v>
      </c>
      <c r="M76" s="164">
        <v>40</v>
      </c>
      <c r="N76" s="164">
        <v>2</v>
      </c>
      <c r="O76" s="164">
        <v>15</v>
      </c>
      <c r="P76" s="100">
        <f t="shared" si="6"/>
        <v>3.4853999999999998</v>
      </c>
      <c r="Q76" s="100">
        <f t="shared" si="7"/>
        <v>444</v>
      </c>
      <c r="R76" s="100">
        <f t="shared" si="8"/>
        <v>12.173913043478301</v>
      </c>
      <c r="S76" s="100">
        <f t="shared" si="9"/>
        <v>955812</v>
      </c>
      <c r="T76" s="100">
        <f t="shared" si="10"/>
        <v>97615.516068052893</v>
      </c>
      <c r="U76" s="100">
        <f t="shared" si="11"/>
        <v>15930.2</v>
      </c>
      <c r="V76" s="100">
        <f t="shared" si="12"/>
        <v>3508.0576086956498</v>
      </c>
      <c r="W76" s="100">
        <f t="shared" si="13"/>
        <v>20.9036923579114</v>
      </c>
      <c r="X76" s="100">
        <f t="shared" si="14"/>
        <v>613.33333333333303</v>
      </c>
      <c r="Y76" s="100">
        <f t="shared" si="15"/>
        <v>328744226.68892998</v>
      </c>
    </row>
    <row r="77" spans="1:62" s="100" customFormat="1" ht="18.75" customHeight="1">
      <c r="C77" s="115" t="s">
        <v>744</v>
      </c>
      <c r="D77" s="100">
        <f>VLOOKUP(D71,K68:V78,12,FALSE)*D73</f>
        <v>3145.4548387096802</v>
      </c>
      <c r="E77" s="103" t="s">
        <v>115</v>
      </c>
      <c r="J77" s="100">
        <v>10</v>
      </c>
      <c r="K77" s="163" t="str">
        <f t="shared" si="5"/>
        <v>C140x40x15x1.8</v>
      </c>
      <c r="L77" s="164">
        <v>140</v>
      </c>
      <c r="M77" s="164">
        <v>40</v>
      </c>
      <c r="N77" s="164">
        <v>1.8</v>
      </c>
      <c r="O77" s="164">
        <v>15</v>
      </c>
      <c r="P77" s="100">
        <f t="shared" si="6"/>
        <v>3.4307639999999999</v>
      </c>
      <c r="Q77" s="100">
        <f t="shared" si="7"/>
        <v>437.04</v>
      </c>
      <c r="R77" s="100">
        <f t="shared" si="8"/>
        <v>11.2</v>
      </c>
      <c r="S77" s="100">
        <f t="shared" si="9"/>
        <v>1249276.4831999999</v>
      </c>
      <c r="T77" s="100">
        <f t="shared" si="10"/>
        <v>93467.7408</v>
      </c>
      <c r="U77" s="100">
        <f t="shared" si="11"/>
        <v>17846.806902857101</v>
      </c>
      <c r="V77" s="100">
        <f t="shared" si="12"/>
        <v>3245.4076666666701</v>
      </c>
      <c r="W77" s="100">
        <f t="shared" si="13"/>
        <v>19.638567066560501</v>
      </c>
      <c r="X77" s="100">
        <f t="shared" si="14"/>
        <v>486</v>
      </c>
      <c r="Y77" s="100">
        <f t="shared" si="15"/>
        <v>415067395.58900499</v>
      </c>
      <c r="AB77" s="100">
        <f>D8</f>
        <v>0</v>
      </c>
      <c r="AC77" s="100">
        <f>VLOOKUP(AB77,AB67:AC72,2,FALSE)</f>
        <v>1</v>
      </c>
    </row>
    <row r="78" spans="1:62" s="100" customFormat="1" ht="18.75" customHeight="1">
      <c r="C78" s="115" t="s">
        <v>745</v>
      </c>
      <c r="D78" s="100">
        <f>VLOOKUP(D71,K68:T78,6,FALSE)/100</f>
        <v>3.4069000000000002E-2</v>
      </c>
      <c r="E78" s="103" t="s">
        <v>155</v>
      </c>
      <c r="J78" s="100">
        <v>11</v>
      </c>
      <c r="K78" s="163" t="str">
        <f t="shared" si="5"/>
        <v>C130x40x15x2</v>
      </c>
      <c r="L78" s="164">
        <v>130</v>
      </c>
      <c r="M78" s="164">
        <v>40</v>
      </c>
      <c r="N78" s="164">
        <v>2</v>
      </c>
      <c r="O78" s="164">
        <v>15</v>
      </c>
      <c r="P78" s="100">
        <f t="shared" si="6"/>
        <v>3.6423999999999999</v>
      </c>
      <c r="Q78" s="100">
        <f t="shared" si="7"/>
        <v>464</v>
      </c>
      <c r="R78" s="100">
        <f t="shared" si="8"/>
        <v>11.6666666666667</v>
      </c>
      <c r="S78" s="100">
        <f t="shared" si="9"/>
        <v>1155538.66666667</v>
      </c>
      <c r="T78" s="100">
        <f t="shared" si="10"/>
        <v>100067.555555556</v>
      </c>
      <c r="U78" s="100">
        <f t="shared" si="11"/>
        <v>17777.517948717901</v>
      </c>
      <c r="V78" s="100">
        <f t="shared" si="12"/>
        <v>3531.79607843137</v>
      </c>
      <c r="W78" s="100">
        <f t="shared" si="13"/>
        <v>20.319527746944001</v>
      </c>
      <c r="X78" s="100">
        <f t="shared" si="14"/>
        <v>640</v>
      </c>
      <c r="Y78" s="100">
        <f t="shared" si="15"/>
        <v>389830821.83508801</v>
      </c>
      <c r="AB78" s="100" t="s">
        <v>166</v>
      </c>
      <c r="AC78" s="100" t="s">
        <v>123</v>
      </c>
      <c r="AD78" s="100" t="s">
        <v>746</v>
      </c>
      <c r="AE78" s="100" t="s">
        <v>723</v>
      </c>
      <c r="AF78" s="100" t="s">
        <v>720</v>
      </c>
      <c r="AG78" s="100" t="s">
        <v>124</v>
      </c>
      <c r="AH78" s="100" t="s">
        <v>78</v>
      </c>
      <c r="AI78" s="100" t="s">
        <v>747</v>
      </c>
      <c r="AJ78" s="100" t="s">
        <v>748</v>
      </c>
      <c r="AK78" s="100" t="s">
        <v>749</v>
      </c>
      <c r="AL78" s="100" t="s">
        <v>750</v>
      </c>
      <c r="AM78" s="100" t="s">
        <v>751</v>
      </c>
      <c r="AN78" s="100" t="s">
        <v>752</v>
      </c>
      <c r="AO78" s="100" t="s">
        <v>753</v>
      </c>
      <c r="AP78" s="100" t="s">
        <v>754</v>
      </c>
      <c r="AQ78" s="100" t="s">
        <v>755</v>
      </c>
      <c r="AR78" s="100" t="s">
        <v>756</v>
      </c>
      <c r="AS78" s="100" t="s">
        <v>125</v>
      </c>
      <c r="AT78" s="100" t="s">
        <v>734</v>
      </c>
      <c r="AU78" s="100" t="s">
        <v>735</v>
      </c>
      <c r="AV78" s="100" t="s">
        <v>757</v>
      </c>
      <c r="AW78" s="100" t="s">
        <v>758</v>
      </c>
      <c r="AX78" s="100" t="s">
        <v>759</v>
      </c>
      <c r="AY78" s="100" t="s">
        <v>729</v>
      </c>
      <c r="AZ78" s="100" t="s">
        <v>760</v>
      </c>
      <c r="BA78" s="100" t="s">
        <v>761</v>
      </c>
      <c r="BB78" s="100" t="s">
        <v>730</v>
      </c>
      <c r="BC78" s="100" t="s">
        <v>731</v>
      </c>
      <c r="BD78" s="100" t="s">
        <v>762</v>
      </c>
      <c r="BE78" s="100" t="s">
        <v>763</v>
      </c>
      <c r="BF78" s="100" t="s">
        <v>764</v>
      </c>
      <c r="BG78" s="100" t="s">
        <v>765</v>
      </c>
      <c r="BH78" s="100" t="s">
        <v>766</v>
      </c>
    </row>
    <row r="79" spans="1:62" s="100" customFormat="1" ht="18.75" customHeight="1">
      <c r="C79" s="115" t="s">
        <v>73</v>
      </c>
      <c r="D79" s="151" t="s">
        <v>93</v>
      </c>
      <c r="AA79" s="100">
        <f>VLOOKUP(D79,AE67:AL70,8,FALSE)</f>
        <v>345</v>
      </c>
      <c r="AB79" s="100">
        <f>VLOOKUP($D$71,$K$68:$Y$78,2,FALSE)</f>
        <v>115</v>
      </c>
      <c r="AC79" s="100">
        <f>VLOOKUP($D$71,$K$68:$Y$78,3,FALSE)</f>
        <v>40</v>
      </c>
      <c r="AD79" s="100">
        <f>VLOOKUP($D$71,$K$68:$Y$78,8,FALSE)</f>
        <v>12.4444444444444</v>
      </c>
      <c r="AE79" s="100">
        <f>VLOOKUP($D$71,$K$68:$V$78,7,FALSE)</f>
        <v>434</v>
      </c>
      <c r="AF79" s="100">
        <f>VLOOKUP($D$71,$K$68:$V$78,2,FALSE)</f>
        <v>115</v>
      </c>
      <c r="AG79" s="100">
        <f>VLOOKUP($D$71,$K$68:$V$78,9,FALSE)</f>
        <v>864336.16666666698</v>
      </c>
      <c r="AH79" s="100">
        <f>VLOOKUP($D$71,$K$68:$V$78,10,FALSE)</f>
        <v>96305.283950617304</v>
      </c>
      <c r="AI79" s="100">
        <f>SQRT(AG79/AE79)</f>
        <v>44.626875173052497</v>
      </c>
      <c r="AJ79" s="100">
        <f>SQRT(AH79/AE79)</f>
        <v>14.896361163823901</v>
      </c>
      <c r="AK79" s="100">
        <f>D7*1000*AC77</f>
        <v>2950</v>
      </c>
      <c r="AL79" s="100">
        <f>AK79/AI79</f>
        <v>66.103664855775705</v>
      </c>
      <c r="AM79" s="100">
        <f>AK79/AJ79</f>
        <v>198.03494071855201</v>
      </c>
      <c r="AN79" s="100">
        <f>AL79*SQRT(AP79+SQRT(AP79^2-AO79))</f>
        <v>163.47273930800799</v>
      </c>
      <c r="AO79" s="100">
        <f>(AR79-AZ79^2)/AQ79</f>
        <v>3.7942098202636001</v>
      </c>
      <c r="AP79" s="100">
        <f>(AQ79+AR79)/2/AQ79</f>
        <v>3.3680108564787599</v>
      </c>
      <c r="AQ79" s="100">
        <f>(BC79/AK79^2+0.039*BB79)*AL79^2/AE79</f>
        <v>583.37827070420599</v>
      </c>
      <c r="AR79" s="100">
        <f>AZ79^2+AI79^2+AJ79^2</f>
        <v>3346.2704276269301</v>
      </c>
      <c r="AS79" s="100">
        <f>VLOOKUP($D$71,$K$68:$Y$78,11,FALSE)</f>
        <v>15031.9333333333</v>
      </c>
      <c r="AT79" s="100">
        <f>IF(D16&lt;0.99,AT70,IF(D16&gt;2.99,AT72,AT71))</f>
        <v>1.35</v>
      </c>
      <c r="AU79" s="100">
        <f>IF(D16&lt;0.99,AU70,IF(D16&gt;2.99,AU72,AU71))</f>
        <v>0.14000000000000001</v>
      </c>
      <c r="AV79" s="100">
        <f>4*BC79/AB79^2/AH79+0.156*BB79*(AK79/AB79)^2/AH79</f>
        <v>1.5836059652060399</v>
      </c>
      <c r="AW79" s="100">
        <f>2*AU79*AZ79/AB79</f>
        <v>8.1948100933796897E-2</v>
      </c>
      <c r="AX79" s="100">
        <f>4320*AE79*AB79*AT79*(SQRT(AW79^2+AV79)+AW79)*(235/AA79)/AS79/MAX(AM79,AL79)^2</f>
        <v>0.45168981486133403</v>
      </c>
      <c r="AY79" s="100">
        <f>VLOOKUP($D$71,$K$68:$Y$78,13,FALSE)</f>
        <v>21.2128112962221</v>
      </c>
      <c r="AZ79" s="100">
        <f>AY79+AD79</f>
        <v>33.657255740666599</v>
      </c>
      <c r="BA79" s="100">
        <f>AC79*0.5+AY79</f>
        <v>41.2128112962221</v>
      </c>
      <c r="BB79" s="100">
        <f>VLOOKUP($D$71,$K$68:$Y$78,14,FALSE)</f>
        <v>600</v>
      </c>
      <c r="BC79" s="100">
        <f>VLOOKUP($D$71,$K$68:$Y$78,15,FALSE)</f>
        <v>300596438.21710098</v>
      </c>
      <c r="BD79" s="100">
        <f>SQRT(79000*BB79/200000/BC79)</f>
        <v>8.8793721386129E-4</v>
      </c>
      <c r="BE79" s="100">
        <f>SQRT(D46^2+D48^2)</f>
        <v>1.8794586986683199</v>
      </c>
      <c r="BF79" s="100">
        <f>BE79*BA79/BD79/BD79</f>
        <v>98242750.145173207</v>
      </c>
      <c r="BG79" s="100">
        <f>BC79/AY79</f>
        <v>14170513.9417629</v>
      </c>
      <c r="BH79" s="100">
        <f>BF79/BG79</f>
        <v>6.93289957929015</v>
      </c>
      <c r="BI79" s="100">
        <f>BF79*2</f>
        <v>196485500.290346</v>
      </c>
      <c r="BJ79" s="100">
        <f>BI79/BG79</f>
        <v>13.8657991585803</v>
      </c>
    </row>
    <row r="80" spans="1:62" s="100" customFormat="1" ht="18.75" customHeight="1">
      <c r="C80" s="115" t="s">
        <v>108</v>
      </c>
      <c r="D80" s="100">
        <f>VLOOKUP(D79,AE67:AK70,2,FALSE)</f>
        <v>300</v>
      </c>
      <c r="E80" s="107" t="s">
        <v>109</v>
      </c>
    </row>
    <row r="81" spans="1:11" s="100" customFormat="1" ht="18.75" customHeight="1">
      <c r="C81" s="115" t="s">
        <v>767</v>
      </c>
      <c r="D81" s="371" t="s">
        <v>768</v>
      </c>
      <c r="E81" s="371"/>
    </row>
    <row r="82" spans="1:11" s="100" customFormat="1" ht="18.75" customHeight="1">
      <c r="C82" s="115" t="s">
        <v>697</v>
      </c>
      <c r="D82" s="100">
        <f>ROUND(D66*1000000/D76+D67*1000000/D77+BJ79,2)</f>
        <v>197.66</v>
      </c>
      <c r="E82" s="100" t="str">
        <f>IF(D82&gt;F82,"&gt;","&lt;")</f>
        <v>&lt;</v>
      </c>
      <c r="F82" s="100">
        <f>D80</f>
        <v>300</v>
      </c>
      <c r="G82" s="182">
        <f>D82/F82</f>
        <v>0.65886666666666704</v>
      </c>
      <c r="K82" s="100" t="s">
        <v>769</v>
      </c>
    </row>
    <row r="83" spans="1:11" s="100" customFormat="1" ht="18.75" customHeight="1">
      <c r="A83" s="371" t="str">
        <f>IF(D82&gt;F82,"强度不满足要求","强度满足要求")</f>
        <v>强度满足要求</v>
      </c>
      <c r="B83" s="371"/>
      <c r="C83" s="371"/>
      <c r="D83" s="371"/>
      <c r="E83" s="371"/>
      <c r="F83" s="371"/>
      <c r="G83" s="371"/>
    </row>
    <row r="84" spans="1:11" s="100" customFormat="1" ht="18.75" customHeight="1">
      <c r="C84" s="115" t="s">
        <v>770</v>
      </c>
      <c r="D84" s="100">
        <f>VLOOKUP(D71,K68:V78,9,FALSE)</f>
        <v>864336.16666666698</v>
      </c>
      <c r="E84" s="103" t="s">
        <v>151</v>
      </c>
    </row>
    <row r="85" spans="1:11" s="100" customFormat="1" ht="18.75" customHeight="1">
      <c r="C85" s="115" t="s">
        <v>771</v>
      </c>
      <c r="D85" s="100">
        <f>VLOOKUP(D71,K68:V78,10,FALSE)</f>
        <v>96305.283950617304</v>
      </c>
      <c r="E85" s="103" t="s">
        <v>151</v>
      </c>
    </row>
    <row r="86" spans="1:11" s="100" customFormat="1" ht="18.75" customHeight="1">
      <c r="C86" s="115" t="s">
        <v>772</v>
      </c>
      <c r="D86" s="100">
        <f>VLOOKUP(D71,K68:V78,11,FALSE)</f>
        <v>15031.9333333333</v>
      </c>
      <c r="E86" s="103" t="s">
        <v>115</v>
      </c>
    </row>
    <row r="87" spans="1:11" s="100" customFormat="1" ht="18.75" customHeight="1">
      <c r="C87" s="115" t="s">
        <v>773</v>
      </c>
      <c r="D87" s="100">
        <f>VLOOKUP(D71,K68:V78,12,FALSE)</f>
        <v>3494.9498207885299</v>
      </c>
      <c r="E87" s="103" t="s">
        <v>115</v>
      </c>
    </row>
    <row r="88" spans="1:11" s="100" customFormat="1" ht="18.75" customHeight="1">
      <c r="C88" s="115" t="s">
        <v>108</v>
      </c>
      <c r="D88" s="100">
        <f>VLOOKUP(D79,AE67:AK70,2,FALSE)</f>
        <v>300</v>
      </c>
      <c r="E88" s="107" t="s">
        <v>109</v>
      </c>
    </row>
    <row r="89" spans="1:11" s="100" customFormat="1" ht="18.75" customHeight="1">
      <c r="C89" s="115" t="s">
        <v>774</v>
      </c>
      <c r="D89" s="100">
        <f>ROUND(AX79,2)</f>
        <v>0.45</v>
      </c>
      <c r="E89" s="103"/>
    </row>
    <row r="90" spans="1:11" s="100" customFormat="1" ht="18.75" customHeight="1">
      <c r="C90" s="115" t="s">
        <v>767</v>
      </c>
      <c r="D90" s="371" t="s">
        <v>775</v>
      </c>
      <c r="E90" s="371"/>
    </row>
    <row r="91" spans="1:11" s="100" customFormat="1" ht="18.75" customHeight="1">
      <c r="C91" s="115" t="s">
        <v>697</v>
      </c>
      <c r="D91" s="100">
        <f>ROUND(D68*1000000/D89/D86+D69*1000000/D87,2)</f>
        <v>141.96</v>
      </c>
      <c r="E91" s="100" t="str">
        <f>IF(D91&gt;F91,"&gt;","&lt;")</f>
        <v>&lt;</v>
      </c>
      <c r="F91" s="100">
        <f>D88</f>
        <v>300</v>
      </c>
      <c r="G91" s="182">
        <f>D91/F91</f>
        <v>0.47320000000000001</v>
      </c>
    </row>
    <row r="92" spans="1:11" s="100" customFormat="1" ht="18.75" customHeight="1">
      <c r="A92" s="371" t="str">
        <f>IF(D91&gt;F91,"稳定不满足要求","稳定满足要求")</f>
        <v>稳定满足要求</v>
      </c>
      <c r="B92" s="371"/>
      <c r="C92" s="371"/>
      <c r="D92" s="371"/>
      <c r="E92" s="371"/>
      <c r="F92" s="371"/>
      <c r="G92" s="371"/>
    </row>
    <row r="93" spans="1:11" s="100" customFormat="1" ht="18.75" customHeight="1"/>
    <row r="94" spans="1:11" s="100" customFormat="1" ht="18.75" customHeight="1"/>
    <row r="95" spans="1:11" s="100" customFormat="1" ht="18.75" customHeight="1"/>
    <row r="96" spans="1:11" s="100" customFormat="1" ht="18.75" customHeight="1"/>
    <row r="97" s="100" customFormat="1" ht="18.75" customHeight="1"/>
    <row r="98" s="100" customFormat="1" ht="18.75" customHeight="1"/>
    <row r="99" s="100" customFormat="1" ht="18.75" customHeight="1"/>
    <row r="100" s="100" customFormat="1" ht="18.75" customHeight="1"/>
    <row r="101" s="100" customFormat="1" ht="12.75"/>
    <row r="102" s="100" customFormat="1" ht="12.75"/>
    <row r="103" s="100" customFormat="1" ht="12.75"/>
    <row r="104" s="100" customFormat="1" ht="12.75"/>
    <row r="105" s="100" customFormat="1" ht="12.75"/>
    <row r="106" s="100" customFormat="1" ht="12.75"/>
    <row r="107" s="100" customFormat="1" ht="12.75"/>
    <row r="108" s="100" customFormat="1" ht="12.75"/>
    <row r="109" s="100" customFormat="1" ht="12.75"/>
    <row r="110" s="100" customFormat="1" ht="12.75"/>
    <row r="111" s="100" customFormat="1" ht="12.75"/>
    <row r="112" s="100" customFormat="1" ht="12.75"/>
    <row r="113" s="100" customFormat="1" ht="12.75"/>
    <row r="114" s="100" customFormat="1" ht="12.75"/>
    <row r="115" s="100" customFormat="1" ht="12.75"/>
    <row r="116" s="100" customFormat="1" ht="12.75"/>
    <row r="117" s="100" customFormat="1" ht="12.75"/>
    <row r="118" s="100" customFormat="1" ht="12.75"/>
    <row r="119" s="100" customFormat="1" ht="12.75"/>
    <row r="120" s="100" customFormat="1" ht="12.75"/>
    <row r="121" s="100" customFormat="1" ht="12.75"/>
    <row r="122" s="100" customFormat="1" ht="12.75"/>
    <row r="123" s="100" customFormat="1" ht="12.75"/>
    <row r="124" s="100" customFormat="1" ht="12.75"/>
    <row r="125" s="100" customFormat="1" ht="12.75"/>
    <row r="126" s="100" customFormat="1" ht="12.75"/>
    <row r="127" s="100" customFormat="1" ht="12.75"/>
    <row r="128" s="100" customFormat="1" ht="12.75"/>
    <row r="129" s="100" customFormat="1" ht="12.75"/>
    <row r="130" s="100" customFormat="1" ht="12.75"/>
    <row r="131" s="100" customFormat="1" ht="12.75"/>
    <row r="132" s="100" customFormat="1" ht="12.75"/>
    <row r="133" s="100" customFormat="1" ht="12.75"/>
    <row r="134" s="100" customFormat="1" ht="12.75"/>
    <row r="135" s="100" customFormat="1" ht="12.75"/>
    <row r="136" s="100" customFormat="1" ht="12.75"/>
    <row r="137" s="100" customFormat="1" ht="12.75"/>
    <row r="138" s="100" customFormat="1" ht="12.75"/>
    <row r="139" s="100" customFormat="1" ht="12.75"/>
    <row r="140" s="100" customFormat="1" ht="12.75"/>
    <row r="141" s="100" customFormat="1" ht="12.75"/>
    <row r="142" s="100" customFormat="1" ht="12.75"/>
    <row r="143" s="100" customFormat="1" ht="12.75"/>
    <row r="144" s="100" customFormat="1" ht="12.75"/>
    <row r="145" s="100" customFormat="1" ht="12.75"/>
    <row r="146" s="100" customFormat="1" ht="12.75"/>
    <row r="147" s="100" customFormat="1" ht="12.75"/>
    <row r="148" s="100" customFormat="1" ht="12.75"/>
    <row r="149" s="100" customFormat="1" ht="12.75"/>
    <row r="150" s="100" customFormat="1" ht="12.75"/>
    <row r="151" s="100" customFormat="1" ht="12.75"/>
    <row r="152" s="100" customFormat="1" ht="12.75"/>
    <row r="153" s="100" customFormat="1" ht="12.75"/>
    <row r="154" s="100" customFormat="1" ht="12.75"/>
    <row r="155" s="100" customFormat="1" ht="12.75"/>
    <row r="156" s="100" customFormat="1" ht="12.75"/>
    <row r="157" s="100" customFormat="1" ht="12.75"/>
    <row r="158" s="100" customFormat="1" ht="12.75"/>
  </sheetData>
  <mergeCells count="24">
    <mergeCell ref="A83:G83"/>
    <mergeCell ref="D90:E90"/>
    <mergeCell ref="A92:G92"/>
    <mergeCell ref="D47:F47"/>
    <mergeCell ref="D55:F55"/>
    <mergeCell ref="D57:F57"/>
    <mergeCell ref="A65:C65"/>
    <mergeCell ref="D81:E81"/>
    <mergeCell ref="S38:T38"/>
    <mergeCell ref="U38:V38"/>
    <mergeCell ref="W38:X38"/>
    <mergeCell ref="A40:C40"/>
    <mergeCell ref="D45:F45"/>
    <mergeCell ref="J18:L18"/>
    <mergeCell ref="J22:L22"/>
    <mergeCell ref="J27:L27"/>
    <mergeCell ref="A29:B29"/>
    <mergeCell ref="Q38:R38"/>
    <mergeCell ref="A1:H1"/>
    <mergeCell ref="S4:W4"/>
    <mergeCell ref="J9:L9"/>
    <mergeCell ref="M9:O9"/>
    <mergeCell ref="J13:L13"/>
    <mergeCell ref="M13:O13"/>
  </mergeCells>
  <phoneticPr fontId="80" type="noConversion"/>
  <conditionalFormatting sqref="A83:G83">
    <cfRule type="containsText" dxfId="51" priority="3" operator="containsText" text="强度不满足要求">
      <formula>NOT(ISERROR(SEARCH("强度不满足要求",A83)))</formula>
    </cfRule>
  </conditionalFormatting>
  <conditionalFormatting sqref="A92:G92">
    <cfRule type="containsText" dxfId="50" priority="1" operator="containsText" text="稳定不满足要求">
      <formula>NOT(ISERROR(SEARCH("稳定不满足要求",A92)))</formula>
    </cfRule>
    <cfRule type="containsText" dxfId="49" priority="2" operator="containsText" text="强度不满足要求">
      <formula>NOT(ISERROR(SEARCH("强度不满足要求",A92)))</formula>
    </cfRule>
  </conditionalFormatting>
  <dataValidations count="6">
    <dataValidation type="list" allowBlank="1" showInputMessage="1" showErrorMessage="1" sqref="D8" xr:uid="{00000000-0002-0000-0D00-000000000000}">
      <formula1>$AB$67:$AB$72</formula1>
    </dataValidation>
    <dataValidation type="list" allowBlank="1" showInputMessage="1" showErrorMessage="1" sqref="D14" xr:uid="{00000000-0002-0000-0D00-000001000000}">
      <formula1>"自定义,自动"</formula1>
    </dataValidation>
    <dataValidation type="list" allowBlank="1" showInputMessage="1" showErrorMessage="1" sqref="D44" xr:uid="{00000000-0002-0000-0D00-000002000000}">
      <formula1>$P$40:$P$43</formula1>
    </dataValidation>
    <dataValidation type="list" allowBlank="1" showInputMessage="1" showErrorMessage="1" sqref="D70" xr:uid="{00000000-0002-0000-0D00-000003000000}">
      <formula1>"C型钢"</formula1>
    </dataValidation>
    <dataValidation type="list" allowBlank="1" showInputMessage="1" showErrorMessage="1" sqref="D71" xr:uid="{00000000-0002-0000-0D00-000004000000}">
      <formula1>$K$68:$K$78</formula1>
    </dataValidation>
    <dataValidation type="list" allowBlank="1" showInputMessage="1" showErrorMessage="1" sqref="D79" xr:uid="{00000000-0002-0000-0D00-000005000000}">
      <formula1>$AE$67:$AE$70</formula1>
    </dataValidation>
  </dataValidations>
  <pageMargins left="0.7" right="0.7" top="0.38" bottom="0.28000000000000003" header="0.3" footer="0.3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X13"/>
  <sheetViews>
    <sheetView tabSelected="1" workbookViewId="0">
      <selection activeCell="N23" sqref="N23"/>
    </sheetView>
  </sheetViews>
  <sheetFormatPr defaultColWidth="9" defaultRowHeight="18.75" customHeight="1"/>
  <cols>
    <col min="1" max="1" width="5.375" customWidth="1"/>
    <col min="2" max="2" width="13.75" customWidth="1"/>
    <col min="3" max="6" width="7.625" customWidth="1"/>
    <col min="7" max="10" width="8" customWidth="1"/>
    <col min="21" max="24" width="8.25" customWidth="1"/>
  </cols>
  <sheetData>
    <row r="1" spans="1:24" ht="18.75" customHeight="1"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24" ht="18.75" customHeight="1">
      <c r="A2" s="100"/>
      <c r="B2" s="160" t="s">
        <v>715</v>
      </c>
      <c r="C2" s="100"/>
      <c r="D2" s="100"/>
      <c r="E2" s="100"/>
      <c r="F2" s="100"/>
      <c r="G2" s="100"/>
      <c r="H2" s="100"/>
      <c r="I2" s="100"/>
      <c r="J2" s="100"/>
      <c r="K2" s="430" t="s">
        <v>776</v>
      </c>
      <c r="L2" s="430"/>
      <c r="M2" s="430"/>
      <c r="N2" s="430"/>
      <c r="O2" s="430"/>
      <c r="P2" s="430"/>
      <c r="Q2" s="431" t="s">
        <v>777</v>
      </c>
      <c r="R2" s="431"/>
      <c r="S2" s="431"/>
      <c r="T2" s="431"/>
      <c r="U2" s="369" t="s">
        <v>778</v>
      </c>
      <c r="V2" s="369"/>
      <c r="W2" s="369"/>
      <c r="X2" s="369"/>
    </row>
    <row r="3" spans="1:24" ht="42" customHeight="1">
      <c r="A3" s="161" t="s">
        <v>609</v>
      </c>
      <c r="B3" s="161" t="s">
        <v>72</v>
      </c>
      <c r="C3" s="161" t="s">
        <v>720</v>
      </c>
      <c r="D3" s="161" t="s">
        <v>721</v>
      </c>
      <c r="E3" s="161" t="s">
        <v>717</v>
      </c>
      <c r="F3" s="161" t="s">
        <v>779</v>
      </c>
      <c r="G3" s="162" t="s">
        <v>780</v>
      </c>
      <c r="H3" s="162" t="s">
        <v>781</v>
      </c>
      <c r="I3" s="162" t="s">
        <v>782</v>
      </c>
      <c r="J3" s="161" t="s">
        <v>597</v>
      </c>
      <c r="K3" s="162" t="s">
        <v>783</v>
      </c>
      <c r="L3" s="161" t="s">
        <v>784</v>
      </c>
      <c r="M3" s="161" t="s">
        <v>725</v>
      </c>
      <c r="N3" s="161" t="s">
        <v>726</v>
      </c>
      <c r="O3" s="161" t="s">
        <v>727</v>
      </c>
      <c r="P3" s="162" t="s">
        <v>785</v>
      </c>
      <c r="Q3" s="168" t="s">
        <v>783</v>
      </c>
      <c r="R3" s="169" t="s">
        <v>784</v>
      </c>
      <c r="S3" s="169" t="s">
        <v>725</v>
      </c>
      <c r="T3" s="169" t="s">
        <v>726</v>
      </c>
      <c r="U3" s="117" t="s">
        <v>786</v>
      </c>
      <c r="V3" s="117" t="s">
        <v>787</v>
      </c>
      <c r="W3" s="117" t="s">
        <v>788</v>
      </c>
      <c r="X3" s="170" t="s">
        <v>789</v>
      </c>
    </row>
    <row r="4" spans="1:24" ht="18.75" customHeight="1">
      <c r="A4" s="100">
        <v>1</v>
      </c>
      <c r="B4" s="163" t="str">
        <f>IF(C4="","","C"&amp;C4&amp;"x"&amp;D4&amp;"x"&amp;F4&amp;"x"&amp;E4)</f>
        <v>C70x40x15x2</v>
      </c>
      <c r="C4" s="164">
        <v>70</v>
      </c>
      <c r="D4" s="164">
        <v>40</v>
      </c>
      <c r="E4" s="164">
        <v>2</v>
      </c>
      <c r="F4" s="164">
        <v>15</v>
      </c>
      <c r="G4" s="164"/>
      <c r="H4" s="164"/>
      <c r="I4" s="164"/>
      <c r="J4" s="165">
        <f>IF(B4="","",K4*1000*0.00000785)</f>
        <v>2.7004000000000001</v>
      </c>
      <c r="K4" s="166">
        <f>IF(B4="","",(C4+2*D4+2*F4-4*E4)*E4)</f>
        <v>344</v>
      </c>
      <c r="L4" s="166">
        <f>IF(B4="","",D4*(D4+2*F4)/(C4+2*D4+2*F4))</f>
        <v>15.5555555555556</v>
      </c>
      <c r="M4" s="166">
        <f>IF(B4="","",C4^3*E4/12+(D4-2*E4)*E4^3/6+(C4-E4)^2*E4*(D4-2*E4)/2+F4^3*E4/6+F4*E4*(C4-F4)^2/2)</f>
        <v>270178.66666666698</v>
      </c>
      <c r="N4" s="166">
        <f>IF(B4="","",E4^3*C4/12+(L4-E4*0.5)^2*C4*E4+F4*E4^3/6+(D4-L4-E4*0.5)^2*F4*E4*2+(L4-E4)^3*E4/6+((L4-E4)*0.5)^2*(L4-E4)*E4*2+(D4-L4-E4)^3*E4/6+((D4-L4-E4)*0.5)^2*(D4-L4-E4)*E4*2)</f>
        <v>81102.617283950603</v>
      </c>
      <c r="O4" s="166">
        <f>IF(B4="","",M4/(C4*0.5))</f>
        <v>7719.3904761904796</v>
      </c>
      <c r="P4" s="166">
        <f>IF(B4="","",N4/(D4-L4))</f>
        <v>3317.8343434343401</v>
      </c>
      <c r="Q4" s="171">
        <f>IF(B4="","",(C4+2*D4+2*F4-4*E4)*E4-E4*G4-E4*H4-E4*I4)</f>
        <v>344</v>
      </c>
      <c r="R4" s="171">
        <f>IF(B4="","",D4*(D4+2*F4)/(C4+2*D4+2*F4))</f>
        <v>15.5555555555556</v>
      </c>
      <c r="S4" s="171">
        <f>IF(B4="","",(C4^3*E4/12+(D4-2*E4)*E4^3/6+(C4-E4)^2*E4*(D4-2*E4)/2+F4^3*E4/6+F4*E4*(C4-F4)^2/2)-(G4*E4^3/12+G4*E4*(C4*0.5-E4*0.5)^2)-(H4*E4^3/12+H4*E4*(C4*0.5-E4*0.5)^2)-(E4*I4^3/12))</f>
        <v>270178.66666666698</v>
      </c>
      <c r="T4" s="171">
        <f>IF(B4="","",(E4^3*C4/12+(L4-E4*0.5)^2*C4*E4+F4*E4^3/6+(D4-L4-E4*0.5)^2*F4*E4*2+(L4-E4)^3*E4/6+((L4-E4)*0.5)^2*(L4-E4)*E4*2+(D4-L4-E4)^3*E4/6+((D4-L4-E4)*0.5)^2*(D4-L4-E4)*E4*2)-(E4*G4^3/12)-(H4*G4^3/12)-(I4*E4^3/12+E4*I4*(L4-E4*0.5)))</f>
        <v>81102.617283950603</v>
      </c>
      <c r="U4" s="172">
        <f>IF(B4="","",Q4/K4)</f>
        <v>1</v>
      </c>
      <c r="V4" s="173">
        <f>IF(B4="","",S4/M4)</f>
        <v>1</v>
      </c>
      <c r="W4" s="173">
        <f>IF(B4="","",T4/N4)</f>
        <v>1</v>
      </c>
      <c r="X4" s="173">
        <f>IF(B4="","",1/V4)</f>
        <v>1</v>
      </c>
    </row>
    <row r="5" spans="1:24" ht="18.75" customHeight="1">
      <c r="A5" s="100">
        <v>2</v>
      </c>
      <c r="B5" s="163" t="str">
        <f t="shared" ref="B5:B8" si="0">IF(C5="","","C"&amp;C5&amp;"x"&amp;D5&amp;"x"&amp;F5&amp;"x"&amp;E5)</f>
        <v/>
      </c>
      <c r="C5" s="164"/>
      <c r="D5" s="164"/>
      <c r="E5" s="164"/>
      <c r="F5" s="164"/>
      <c r="G5" s="164"/>
      <c r="H5" s="164"/>
      <c r="I5" s="164"/>
      <c r="J5" s="165" t="str">
        <f t="shared" ref="J5:J13" si="1">IF(B5="","",K5*1000*0.00000785)</f>
        <v/>
      </c>
      <c r="K5" s="166" t="str">
        <f t="shared" ref="K5:K13" si="2">IF(B5="","",(C5+2*D5+2*F5-4*E5)*E5)</f>
        <v/>
      </c>
      <c r="L5" s="166" t="str">
        <f t="shared" ref="L5:L13" si="3">IF(B5="","",D5*(D5+2*F5)/(C5+2*D5+2*F5))</f>
        <v/>
      </c>
      <c r="M5" s="166" t="str">
        <f t="shared" ref="M5:M13" si="4">IF(B5="","",C5^3*E5/12+(D5-2*E5)*E5^3/6+(C5-E5)^2*E5*(D5-2*E5)/2+F5^3*E5/6+F5*E5*(C5-F5)^2/2)</f>
        <v/>
      </c>
      <c r="N5" s="166" t="str">
        <f t="shared" ref="N5:N13" si="5">IF(B5="","",E5^3*C5/12+(L5-E5*0.5)^2*C5*E5+F5*E5^3/6+(D5-L5-E5*0.5)^2*F5*E5*2+(L5-E5)^3*E5/6+((L5-E5)*0.5)^2*(L5-E5)*E5*2+(D5-L5-E5)^3*E5/6+((D5-L5-E5)*0.5)^2*(D5-L5-E5)*E5*2)</f>
        <v/>
      </c>
      <c r="O5" s="166" t="str">
        <f t="shared" ref="O5:O13" si="6">IF(B5="","",M5/(C5*0.5))</f>
        <v/>
      </c>
      <c r="P5" s="166" t="str">
        <f t="shared" ref="P5:P13" si="7">IF(B5="","",N5/(D5-L5))</f>
        <v/>
      </c>
      <c r="Q5" s="171" t="str">
        <f>IF(B5="","",(C5+2*D5+2*F5-4*E5)*E5-E5*G5-E5*H5-E5*I5)</f>
        <v/>
      </c>
      <c r="R5" s="171" t="str">
        <f t="shared" ref="R5:R13" si="8">IF(B5="","",D5*(D5+2*F5)/(C5+2*D5+2*F5))</f>
        <v/>
      </c>
      <c r="S5" s="171" t="str">
        <f>IF(B5="","",(C5^3*E5/12+(D5-2*E5)*E5^3/6+(C5-E5)^2*E5*(D5-2*E5)/2+F5^3*E5/6+F5*E5*(C5-F5)^2/2)-(G5*E5^3/12+G5*E5*(C5*0.5-E5*0.5)^2)-(H5*E5^3/12+H5*E5*(C5*0.5-E5*0.5)^2)-(E5*I5^3/12))</f>
        <v/>
      </c>
      <c r="T5" s="171" t="str">
        <f>IF(B5="","",(E5^3*C5/12+(L5-E5*0.5)^2*C5*E5+F5*E5^3/6+(D5-L5-E5*0.5)^2*F5*E5*2+(L5-E5)^3*E5/6+((L5-E5)*0.5)^2*(L5-E5)*E5*2+(D5-L5-E5)^3*E5/6+((D5-L5-E5)*0.5)^2*(D5-L5-E5)*E5*2)-(E5*G5^3/12)-(H5*G5^3/12)-(I5*E5^3/12+E5*I5*(L5-E5*0.5)))</f>
        <v/>
      </c>
      <c r="U5" s="172" t="str">
        <f t="shared" ref="U5:U13" si="9">IF(B5="","",Q5/K5)</f>
        <v/>
      </c>
      <c r="V5" s="173" t="str">
        <f t="shared" ref="V5:V13" si="10">IF(B5="","",S5/M5)</f>
        <v/>
      </c>
      <c r="W5" s="173" t="str">
        <f t="shared" ref="W5:W13" si="11">IF(B5="","",T5/N5)</f>
        <v/>
      </c>
      <c r="X5" s="173" t="str">
        <f t="shared" ref="X5:X13" si="12">IF(B5="","",1/V5)</f>
        <v/>
      </c>
    </row>
    <row r="6" spans="1:24" ht="18.75" customHeight="1">
      <c r="A6" s="100">
        <v>3</v>
      </c>
      <c r="B6" s="163" t="str">
        <f t="shared" si="0"/>
        <v/>
      </c>
      <c r="C6" s="164"/>
      <c r="D6" s="164"/>
      <c r="E6" s="164"/>
      <c r="F6" s="164"/>
      <c r="G6" s="164"/>
      <c r="H6" s="164"/>
      <c r="I6" s="164"/>
      <c r="J6" s="165" t="str">
        <f t="shared" si="1"/>
        <v/>
      </c>
      <c r="K6" s="166" t="str">
        <f t="shared" si="2"/>
        <v/>
      </c>
      <c r="L6" s="166" t="str">
        <f t="shared" si="3"/>
        <v/>
      </c>
      <c r="M6" s="166" t="str">
        <f t="shared" si="4"/>
        <v/>
      </c>
      <c r="N6" s="166" t="str">
        <f t="shared" si="5"/>
        <v/>
      </c>
      <c r="O6" s="166" t="str">
        <f t="shared" si="6"/>
        <v/>
      </c>
      <c r="P6" s="166" t="str">
        <f t="shared" si="7"/>
        <v/>
      </c>
      <c r="Q6" s="171" t="str">
        <f t="shared" ref="Q6:Q13" si="13">IF(B6="","",(C6+2*D6+2*F6-4*E6)*E6-E6*G6-E6*H6-E6*I6)</f>
        <v/>
      </c>
      <c r="R6" s="171" t="str">
        <f t="shared" si="8"/>
        <v/>
      </c>
      <c r="S6" s="171" t="str">
        <f t="shared" ref="S6:S13" si="14">IF(B6="","",(C6^3*E6/12+(D6-2*E6)*E6^3/6+(C6-E6)^2*E6*(D6-2*E6)/2+F6^3*E6/6+F6*E6*(C6-F6)^2/2)-(G6*E6^3/12+G6*E6*(C6*0.5-E6*0.5)^2)-(H6*E6^3/12+H6*E6*(C6*0.5-E6*0.5)^2)-(E6*I6^3/12))</f>
        <v/>
      </c>
      <c r="T6" s="171" t="str">
        <f t="shared" ref="T6:T13" si="15">IF(B6="","",(E6^3*C6/12+(L6-E6*0.5)^2*C6*E6+F6*E6^3/6+(D6-L6-E6*0.5)^2*F6*E6*2+(L6-E6)^3*E6/6+((L6-E6)*0.5)^2*(L6-E6)*E6*2+(D6-L6-E6)^3*E6/6+((D6-L6-E6)*0.5)^2*(D6-L6-E6)*E6*2)-(E6*G6^3/12)-(H6*G6^3/12)-(I6*E6^3/12+E6*I6*(L6-E6*0.5)))</f>
        <v/>
      </c>
      <c r="U6" s="172" t="str">
        <f t="shared" si="9"/>
        <v/>
      </c>
      <c r="V6" s="173" t="str">
        <f t="shared" si="10"/>
        <v/>
      </c>
      <c r="W6" s="173" t="str">
        <f t="shared" si="11"/>
        <v/>
      </c>
      <c r="X6" s="173" t="str">
        <f t="shared" si="12"/>
        <v/>
      </c>
    </row>
    <row r="7" spans="1:24" ht="18.75" customHeight="1">
      <c r="A7" s="100">
        <v>4</v>
      </c>
      <c r="B7" s="163" t="str">
        <f t="shared" si="0"/>
        <v/>
      </c>
      <c r="C7" s="164"/>
      <c r="D7" s="164"/>
      <c r="E7" s="164"/>
      <c r="F7" s="164"/>
      <c r="G7" s="164"/>
      <c r="H7" s="164"/>
      <c r="I7" s="164"/>
      <c r="J7" s="165" t="str">
        <f t="shared" si="1"/>
        <v/>
      </c>
      <c r="K7" s="166" t="str">
        <f t="shared" si="2"/>
        <v/>
      </c>
      <c r="L7" s="166" t="str">
        <f t="shared" si="3"/>
        <v/>
      </c>
      <c r="M7" s="166" t="str">
        <f t="shared" si="4"/>
        <v/>
      </c>
      <c r="N7" s="166" t="str">
        <f t="shared" si="5"/>
        <v/>
      </c>
      <c r="O7" s="166" t="str">
        <f t="shared" si="6"/>
        <v/>
      </c>
      <c r="P7" s="166" t="str">
        <f t="shared" si="7"/>
        <v/>
      </c>
      <c r="Q7" s="171" t="str">
        <f t="shared" si="13"/>
        <v/>
      </c>
      <c r="R7" s="171" t="str">
        <f t="shared" si="8"/>
        <v/>
      </c>
      <c r="S7" s="171" t="str">
        <f t="shared" si="14"/>
        <v/>
      </c>
      <c r="T7" s="171" t="str">
        <f t="shared" si="15"/>
        <v/>
      </c>
      <c r="U7" s="172" t="str">
        <f t="shared" si="9"/>
        <v/>
      </c>
      <c r="V7" s="173" t="str">
        <f t="shared" si="10"/>
        <v/>
      </c>
      <c r="W7" s="173" t="str">
        <f t="shared" si="11"/>
        <v/>
      </c>
      <c r="X7" s="173" t="str">
        <f t="shared" si="12"/>
        <v/>
      </c>
    </row>
    <row r="8" spans="1:24" ht="18.75" customHeight="1">
      <c r="A8" s="100">
        <v>5</v>
      </c>
      <c r="B8" s="163" t="str">
        <f t="shared" si="0"/>
        <v/>
      </c>
      <c r="C8" s="164"/>
      <c r="D8" s="164"/>
      <c r="E8" s="164"/>
      <c r="F8" s="164"/>
      <c r="G8" s="164"/>
      <c r="H8" s="164"/>
      <c r="I8" s="164"/>
      <c r="J8" s="165" t="str">
        <f t="shared" si="1"/>
        <v/>
      </c>
      <c r="K8" s="166" t="str">
        <f t="shared" si="2"/>
        <v/>
      </c>
      <c r="L8" s="166" t="str">
        <f t="shared" si="3"/>
        <v/>
      </c>
      <c r="M8" s="166" t="str">
        <f t="shared" si="4"/>
        <v/>
      </c>
      <c r="N8" s="166" t="str">
        <f t="shared" si="5"/>
        <v/>
      </c>
      <c r="O8" s="166" t="str">
        <f t="shared" si="6"/>
        <v/>
      </c>
      <c r="P8" s="166" t="str">
        <f t="shared" si="7"/>
        <v/>
      </c>
      <c r="Q8" s="171" t="str">
        <f t="shared" si="13"/>
        <v/>
      </c>
      <c r="R8" s="171" t="str">
        <f t="shared" si="8"/>
        <v/>
      </c>
      <c r="S8" s="171" t="str">
        <f t="shared" si="14"/>
        <v/>
      </c>
      <c r="T8" s="171" t="str">
        <f t="shared" si="15"/>
        <v/>
      </c>
      <c r="U8" s="172" t="str">
        <f t="shared" si="9"/>
        <v/>
      </c>
      <c r="V8" s="173" t="str">
        <f t="shared" si="10"/>
        <v/>
      </c>
      <c r="W8" s="173" t="str">
        <f t="shared" si="11"/>
        <v/>
      </c>
      <c r="X8" s="173" t="str">
        <f t="shared" si="12"/>
        <v/>
      </c>
    </row>
    <row r="9" spans="1:24" ht="18.75" customHeight="1">
      <c r="A9" s="100">
        <v>6</v>
      </c>
      <c r="B9" s="163" t="str">
        <f t="shared" ref="B9:B13" si="16">IF(C9="","","C"&amp;C9&amp;"x"&amp;D9&amp;"x"&amp;F9&amp;"x"&amp;E9)</f>
        <v/>
      </c>
      <c r="C9" s="164"/>
      <c r="D9" s="164"/>
      <c r="E9" s="164"/>
      <c r="F9" s="164"/>
      <c r="G9" s="164"/>
      <c r="H9" s="164"/>
      <c r="I9" s="164"/>
      <c r="J9" s="165" t="str">
        <f t="shared" si="1"/>
        <v/>
      </c>
      <c r="K9" s="166" t="str">
        <f t="shared" si="2"/>
        <v/>
      </c>
      <c r="L9" s="166" t="str">
        <f t="shared" si="3"/>
        <v/>
      </c>
      <c r="M9" s="166" t="str">
        <f t="shared" si="4"/>
        <v/>
      </c>
      <c r="N9" s="166" t="str">
        <f t="shared" si="5"/>
        <v/>
      </c>
      <c r="O9" s="166" t="str">
        <f t="shared" si="6"/>
        <v/>
      </c>
      <c r="P9" s="166" t="str">
        <f t="shared" si="7"/>
        <v/>
      </c>
      <c r="Q9" s="171" t="str">
        <f t="shared" si="13"/>
        <v/>
      </c>
      <c r="R9" s="171" t="str">
        <f t="shared" si="8"/>
        <v/>
      </c>
      <c r="S9" s="171" t="str">
        <f t="shared" si="14"/>
        <v/>
      </c>
      <c r="T9" s="171" t="str">
        <f t="shared" si="15"/>
        <v/>
      </c>
      <c r="U9" s="172" t="str">
        <f t="shared" si="9"/>
        <v/>
      </c>
      <c r="V9" s="173" t="str">
        <f t="shared" si="10"/>
        <v/>
      </c>
      <c r="W9" s="173" t="str">
        <f t="shared" si="11"/>
        <v/>
      </c>
      <c r="X9" s="173" t="str">
        <f t="shared" si="12"/>
        <v/>
      </c>
    </row>
    <row r="10" spans="1:24" ht="18.75" customHeight="1">
      <c r="A10" s="100">
        <v>7</v>
      </c>
      <c r="B10" s="163" t="str">
        <f t="shared" si="16"/>
        <v/>
      </c>
      <c r="C10" s="164"/>
      <c r="D10" s="164"/>
      <c r="E10" s="164"/>
      <c r="F10" s="164"/>
      <c r="G10" s="164"/>
      <c r="H10" s="164"/>
      <c r="I10" s="164"/>
      <c r="J10" s="165" t="str">
        <f t="shared" si="1"/>
        <v/>
      </c>
      <c r="K10" s="166" t="str">
        <f t="shared" si="2"/>
        <v/>
      </c>
      <c r="L10" s="166" t="str">
        <f t="shared" si="3"/>
        <v/>
      </c>
      <c r="M10" s="166" t="str">
        <f t="shared" si="4"/>
        <v/>
      </c>
      <c r="N10" s="166" t="str">
        <f t="shared" si="5"/>
        <v/>
      </c>
      <c r="O10" s="166" t="str">
        <f t="shared" si="6"/>
        <v/>
      </c>
      <c r="P10" s="166" t="str">
        <f t="shared" si="7"/>
        <v/>
      </c>
      <c r="Q10" s="171" t="str">
        <f t="shared" si="13"/>
        <v/>
      </c>
      <c r="R10" s="171" t="str">
        <f t="shared" si="8"/>
        <v/>
      </c>
      <c r="S10" s="171" t="str">
        <f t="shared" si="14"/>
        <v/>
      </c>
      <c r="T10" s="171" t="str">
        <f t="shared" si="15"/>
        <v/>
      </c>
      <c r="U10" s="172" t="str">
        <f t="shared" si="9"/>
        <v/>
      </c>
      <c r="V10" s="173" t="str">
        <f t="shared" si="10"/>
        <v/>
      </c>
      <c r="W10" s="173" t="str">
        <f t="shared" si="11"/>
        <v/>
      </c>
      <c r="X10" s="173" t="str">
        <f t="shared" si="12"/>
        <v/>
      </c>
    </row>
    <row r="11" spans="1:24" ht="18.75" customHeight="1">
      <c r="A11" s="100">
        <v>8</v>
      </c>
      <c r="B11" s="163" t="str">
        <f t="shared" si="16"/>
        <v/>
      </c>
      <c r="C11" s="164"/>
      <c r="D11" s="164"/>
      <c r="E11" s="164"/>
      <c r="F11" s="164"/>
      <c r="G11" s="164"/>
      <c r="H11" s="164"/>
      <c r="I11" s="164"/>
      <c r="J11" s="165" t="str">
        <f t="shared" si="1"/>
        <v/>
      </c>
      <c r="K11" s="166" t="str">
        <f t="shared" si="2"/>
        <v/>
      </c>
      <c r="L11" s="166" t="str">
        <f t="shared" si="3"/>
        <v/>
      </c>
      <c r="M11" s="166" t="str">
        <f t="shared" si="4"/>
        <v/>
      </c>
      <c r="N11" s="166" t="str">
        <f t="shared" si="5"/>
        <v/>
      </c>
      <c r="O11" s="166" t="str">
        <f t="shared" si="6"/>
        <v/>
      </c>
      <c r="P11" s="166" t="str">
        <f t="shared" si="7"/>
        <v/>
      </c>
      <c r="Q11" s="171" t="str">
        <f t="shared" si="13"/>
        <v/>
      </c>
      <c r="R11" s="171" t="str">
        <f t="shared" si="8"/>
        <v/>
      </c>
      <c r="S11" s="171" t="str">
        <f t="shared" si="14"/>
        <v/>
      </c>
      <c r="T11" s="171" t="str">
        <f t="shared" si="15"/>
        <v/>
      </c>
      <c r="U11" s="172" t="str">
        <f t="shared" si="9"/>
        <v/>
      </c>
      <c r="V11" s="173" t="str">
        <f t="shared" si="10"/>
        <v/>
      </c>
      <c r="W11" s="173" t="str">
        <f t="shared" si="11"/>
        <v/>
      </c>
      <c r="X11" s="173" t="str">
        <f t="shared" si="12"/>
        <v/>
      </c>
    </row>
    <row r="12" spans="1:24" ht="18.75" customHeight="1">
      <c r="A12" s="100">
        <v>9</v>
      </c>
      <c r="B12" s="163" t="str">
        <f t="shared" si="16"/>
        <v/>
      </c>
      <c r="C12" s="164"/>
      <c r="D12" s="164"/>
      <c r="E12" s="164"/>
      <c r="F12" s="164"/>
      <c r="G12" s="164"/>
      <c r="H12" s="164"/>
      <c r="I12" s="164"/>
      <c r="J12" s="165" t="str">
        <f t="shared" si="1"/>
        <v/>
      </c>
      <c r="K12" s="166" t="str">
        <f t="shared" si="2"/>
        <v/>
      </c>
      <c r="L12" s="166" t="str">
        <f t="shared" si="3"/>
        <v/>
      </c>
      <c r="M12" s="166" t="str">
        <f t="shared" si="4"/>
        <v/>
      </c>
      <c r="N12" s="166" t="str">
        <f t="shared" si="5"/>
        <v/>
      </c>
      <c r="O12" s="166" t="str">
        <f t="shared" si="6"/>
        <v/>
      </c>
      <c r="P12" s="166" t="str">
        <f t="shared" si="7"/>
        <v/>
      </c>
      <c r="Q12" s="171" t="str">
        <f t="shared" si="13"/>
        <v/>
      </c>
      <c r="R12" s="171" t="str">
        <f t="shared" si="8"/>
        <v/>
      </c>
      <c r="S12" s="171" t="str">
        <f t="shared" si="14"/>
        <v/>
      </c>
      <c r="T12" s="171" t="str">
        <f t="shared" si="15"/>
        <v/>
      </c>
      <c r="U12" s="172" t="str">
        <f t="shared" si="9"/>
        <v/>
      </c>
      <c r="V12" s="173" t="str">
        <f t="shared" si="10"/>
        <v/>
      </c>
      <c r="W12" s="173" t="str">
        <f t="shared" si="11"/>
        <v/>
      </c>
      <c r="X12" s="173" t="str">
        <f t="shared" si="12"/>
        <v/>
      </c>
    </row>
    <row r="13" spans="1:24" ht="18.75" customHeight="1">
      <c r="A13" s="100">
        <v>10</v>
      </c>
      <c r="B13" s="163" t="str">
        <f t="shared" si="16"/>
        <v/>
      </c>
      <c r="C13" s="164"/>
      <c r="D13" s="164"/>
      <c r="E13" s="164"/>
      <c r="F13" s="164"/>
      <c r="G13" s="164"/>
      <c r="H13" s="164"/>
      <c r="I13" s="164"/>
      <c r="J13" s="165" t="str">
        <f t="shared" si="1"/>
        <v/>
      </c>
      <c r="K13" s="166" t="str">
        <f t="shared" si="2"/>
        <v/>
      </c>
      <c r="L13" s="166" t="str">
        <f t="shared" si="3"/>
        <v/>
      </c>
      <c r="M13" s="166" t="str">
        <f t="shared" si="4"/>
        <v/>
      </c>
      <c r="N13" s="166" t="str">
        <f t="shared" si="5"/>
        <v/>
      </c>
      <c r="O13" s="166" t="str">
        <f t="shared" si="6"/>
        <v/>
      </c>
      <c r="P13" s="166" t="str">
        <f t="shared" si="7"/>
        <v/>
      </c>
      <c r="Q13" s="171" t="str">
        <f t="shared" si="13"/>
        <v/>
      </c>
      <c r="R13" s="171" t="str">
        <f t="shared" si="8"/>
        <v/>
      </c>
      <c r="S13" s="171" t="str">
        <f t="shared" si="14"/>
        <v/>
      </c>
      <c r="T13" s="171" t="str">
        <f t="shared" si="15"/>
        <v/>
      </c>
      <c r="U13" s="172" t="str">
        <f t="shared" si="9"/>
        <v/>
      </c>
      <c r="V13" s="173" t="str">
        <f t="shared" si="10"/>
        <v/>
      </c>
      <c r="W13" s="173" t="str">
        <f t="shared" si="11"/>
        <v/>
      </c>
      <c r="X13" s="173" t="str">
        <f t="shared" si="12"/>
        <v/>
      </c>
    </row>
  </sheetData>
  <sheetProtection algorithmName="SHA-512" hashValue="E8dJp6RqvqHTFeCVmo5oLzvRWyFKSO0Uzy7P6HltgDOS+s80xX5O4yWK2WjAAOvZg5NG8GaUpHJKUcPoXSyDwg==" saltValue="9S9hfr2AFIPtNzPjkov4+Q==" spinCount="100000" sheet="1" objects="1" scenarios="1"/>
  <mergeCells count="3">
    <mergeCell ref="K2:P2"/>
    <mergeCell ref="Q2:T2"/>
    <mergeCell ref="U2:X2"/>
  </mergeCells>
  <phoneticPr fontId="80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158"/>
  <sheetViews>
    <sheetView showGridLines="0" zoomScale="130" zoomScaleNormal="130" workbookViewId="0">
      <pane xSplit="26560"/>
      <selection activeCell="D10" sqref="D10"/>
      <selection pane="topRight"/>
    </sheetView>
  </sheetViews>
  <sheetFormatPr defaultColWidth="9" defaultRowHeight="14.25"/>
  <cols>
    <col min="1" max="2" width="9" style="1"/>
    <col min="3" max="3" width="18.125" style="1" customWidth="1"/>
    <col min="4" max="4" width="14.25" style="1" customWidth="1"/>
    <col min="5" max="8" width="9" style="1"/>
    <col min="9" max="10" width="9" style="1" customWidth="1"/>
    <col min="11" max="11" width="13.25" style="1" customWidth="1"/>
    <col min="12" max="13" width="9" style="1" customWidth="1"/>
    <col min="14" max="14" width="12.75" style="1" customWidth="1"/>
    <col min="15" max="49" width="9" style="1" customWidth="1"/>
    <col min="50" max="50" width="9.375" style="1" customWidth="1"/>
    <col min="51" max="54" width="9" style="1" customWidth="1"/>
    <col min="55" max="55" width="9.375" style="1" customWidth="1"/>
    <col min="56" max="67" width="9" style="1" customWidth="1"/>
    <col min="68" max="16384" width="9" style="1"/>
  </cols>
  <sheetData>
    <row r="1" spans="1:23" ht="23.25">
      <c r="A1" s="362" t="s">
        <v>644</v>
      </c>
      <c r="B1" s="362"/>
      <c r="C1" s="362"/>
      <c r="D1" s="362"/>
      <c r="E1" s="362"/>
      <c r="F1" s="362"/>
      <c r="G1" s="362"/>
      <c r="H1" s="362"/>
      <c r="Q1" s="1" t="s">
        <v>645</v>
      </c>
      <c r="R1" s="1" t="s">
        <v>646</v>
      </c>
    </row>
    <row r="2" spans="1:23" s="100" customFormat="1" ht="18.75" customHeight="1"/>
    <row r="3" spans="1:23" s="100" customFormat="1" ht="18.75" customHeight="1">
      <c r="A3" s="100" t="s">
        <v>66</v>
      </c>
    </row>
    <row r="4" spans="1:23" s="100" customFormat="1" ht="18.75" customHeight="1">
      <c r="C4" s="100" t="s">
        <v>647</v>
      </c>
      <c r="D4" s="151">
        <v>0.45</v>
      </c>
      <c r="E4" s="107" t="s">
        <v>339</v>
      </c>
      <c r="I4" s="175"/>
      <c r="J4" s="175"/>
      <c r="K4" s="176" t="s">
        <v>648</v>
      </c>
      <c r="L4" s="175"/>
      <c r="M4" s="175"/>
      <c r="N4" s="175"/>
      <c r="O4" s="175"/>
      <c r="S4" s="363" t="s">
        <v>649</v>
      </c>
      <c r="T4" s="363"/>
      <c r="U4" s="363"/>
      <c r="V4" s="363"/>
      <c r="W4" s="363"/>
    </row>
    <row r="5" spans="1:23" s="100" customFormat="1" ht="18.75" customHeight="1">
      <c r="C5" s="100" t="s">
        <v>650</v>
      </c>
      <c r="D5" s="151">
        <v>0.25</v>
      </c>
      <c r="E5" s="107" t="s">
        <v>339</v>
      </c>
      <c r="I5" s="175"/>
      <c r="J5" s="175"/>
      <c r="K5" s="177" t="s">
        <v>651</v>
      </c>
      <c r="L5" s="177" t="s">
        <v>652</v>
      </c>
      <c r="M5" s="175" t="s">
        <v>91</v>
      </c>
      <c r="N5" s="175" t="s">
        <v>18</v>
      </c>
      <c r="O5" s="175"/>
      <c r="S5" s="181">
        <v>15</v>
      </c>
      <c r="T5" s="181">
        <v>20</v>
      </c>
      <c r="U5" s="181">
        <v>30</v>
      </c>
      <c r="V5" s="181">
        <v>40</v>
      </c>
      <c r="W5" s="181">
        <v>55</v>
      </c>
    </row>
    <row r="6" spans="1:23" s="100" customFormat="1" ht="18.75" customHeight="1">
      <c r="C6" s="100" t="s">
        <v>653</v>
      </c>
      <c r="D6" s="151">
        <v>20</v>
      </c>
      <c r="E6" s="174">
        <v>0</v>
      </c>
      <c r="I6" s="175"/>
      <c r="J6" s="175"/>
      <c r="K6" s="177" t="s">
        <v>654</v>
      </c>
      <c r="L6" s="178">
        <v>0.85</v>
      </c>
      <c r="M6" s="175">
        <v>1.8</v>
      </c>
      <c r="N6" s="175">
        <v>1.4</v>
      </c>
      <c r="O6" s="175"/>
      <c r="S6" s="181">
        <v>0.8</v>
      </c>
      <c r="T6" s="181">
        <v>0.85</v>
      </c>
      <c r="U6" s="181">
        <v>1</v>
      </c>
      <c r="V6" s="181">
        <v>1.3</v>
      </c>
      <c r="W6" s="181">
        <v>1.3</v>
      </c>
    </row>
    <row r="7" spans="1:23" s="100" customFormat="1" ht="18.75" customHeight="1">
      <c r="C7" s="100" t="s">
        <v>655</v>
      </c>
      <c r="D7" s="151">
        <v>21.7</v>
      </c>
      <c r="E7" s="107" t="s">
        <v>36</v>
      </c>
      <c r="I7" s="175"/>
      <c r="J7" s="175"/>
      <c r="K7" s="177" t="s">
        <v>656</v>
      </c>
      <c r="L7" s="178">
        <v>-1</v>
      </c>
      <c r="M7" s="175">
        <v>-1.6</v>
      </c>
      <c r="N7" s="175">
        <v>-1.5</v>
      </c>
      <c r="O7" s="175"/>
      <c r="S7" s="181">
        <v>-0.95</v>
      </c>
      <c r="T7" s="181">
        <v>-1</v>
      </c>
      <c r="U7" s="181">
        <v>-1.3</v>
      </c>
      <c r="V7" s="181">
        <v>-1.6</v>
      </c>
      <c r="W7" s="181">
        <v>-1.6</v>
      </c>
    </row>
    <row r="8" spans="1:23" s="100" customFormat="1" ht="18.75" customHeight="1">
      <c r="C8" s="100" t="s">
        <v>657</v>
      </c>
      <c r="D8" s="151">
        <v>0</v>
      </c>
      <c r="E8" s="107"/>
      <c r="I8" s="175"/>
      <c r="J8" s="175" t="s">
        <v>654</v>
      </c>
      <c r="K8" s="175"/>
      <c r="L8" s="175"/>
      <c r="M8" s="175" t="s">
        <v>656</v>
      </c>
      <c r="N8" s="175"/>
      <c r="O8" s="175"/>
    </row>
    <row r="9" spans="1:23" s="100" customFormat="1" ht="18.75" customHeight="1">
      <c r="C9" s="100" t="s">
        <v>517</v>
      </c>
      <c r="D9" s="151">
        <v>1.3029999999999999</v>
      </c>
      <c r="E9" s="107" t="s">
        <v>36</v>
      </c>
      <c r="I9" s="175" t="s">
        <v>91</v>
      </c>
      <c r="J9" s="364" t="s">
        <v>658</v>
      </c>
      <c r="K9" s="364"/>
      <c r="L9" s="364"/>
      <c r="M9" s="364" t="s">
        <v>658</v>
      </c>
      <c r="N9" s="364"/>
      <c r="O9" s="364"/>
    </row>
    <row r="10" spans="1:23" s="100" customFormat="1" ht="18.75" customHeight="1">
      <c r="C10" s="100" t="s">
        <v>659</v>
      </c>
      <c r="D10" s="151">
        <v>2.3839999999999999</v>
      </c>
      <c r="E10" s="107" t="s">
        <v>36</v>
      </c>
      <c r="I10" s="175"/>
      <c r="J10" s="178">
        <v>22.5</v>
      </c>
      <c r="K10" s="178">
        <v>30</v>
      </c>
      <c r="L10" s="178">
        <v>25</v>
      </c>
      <c r="M10" s="178">
        <v>22.5</v>
      </c>
      <c r="N10" s="178">
        <v>30</v>
      </c>
      <c r="O10" s="178">
        <v>25</v>
      </c>
    </row>
    <row r="11" spans="1:23" s="100" customFormat="1" ht="18.75" customHeight="1">
      <c r="C11" s="100" t="s">
        <v>660</v>
      </c>
      <c r="D11" s="151">
        <v>36</v>
      </c>
      <c r="E11" s="107" t="s">
        <v>661</v>
      </c>
      <c r="I11" s="175"/>
      <c r="J11" s="178">
        <v>1.75</v>
      </c>
      <c r="K11" s="178">
        <v>2.1</v>
      </c>
      <c r="L11" s="179">
        <f>TREND(J11:K11,J10:K10,L10)</f>
        <v>1.86666666666667</v>
      </c>
      <c r="M11" s="178">
        <v>1.55</v>
      </c>
      <c r="N11" s="178">
        <v>1.8</v>
      </c>
      <c r="O11" s="179">
        <f>TREND(M11:N11,M10:N10,O10)</f>
        <v>1.63333333333333</v>
      </c>
    </row>
    <row r="12" spans="1:23" s="100" customFormat="1" ht="18.75" customHeight="1">
      <c r="C12" s="100" t="s">
        <v>662</v>
      </c>
      <c r="D12" s="100">
        <f>D9*D10</f>
        <v>3.1063519999999998</v>
      </c>
      <c r="E12" s="107" t="s">
        <v>100</v>
      </c>
      <c r="I12" s="175"/>
      <c r="J12" s="175"/>
      <c r="K12" s="175"/>
      <c r="L12" s="175"/>
      <c r="M12" s="175"/>
      <c r="N12" s="175"/>
      <c r="O12" s="175"/>
    </row>
    <row r="13" spans="1:23" s="100" customFormat="1" ht="18.75" customHeight="1">
      <c r="A13" s="107" t="s">
        <v>663</v>
      </c>
      <c r="B13" s="107"/>
      <c r="C13" s="107"/>
      <c r="D13" s="107"/>
      <c r="E13" s="107"/>
      <c r="F13" s="107"/>
      <c r="G13" s="107"/>
      <c r="H13" s="107"/>
      <c r="I13" s="175" t="s">
        <v>18</v>
      </c>
      <c r="J13" s="364" t="s">
        <v>658</v>
      </c>
      <c r="K13" s="364"/>
      <c r="L13" s="364"/>
      <c r="M13" s="364" t="s">
        <v>658</v>
      </c>
      <c r="N13" s="364"/>
      <c r="O13" s="364"/>
    </row>
    <row r="14" spans="1:23" s="100" customFormat="1" ht="18.75" customHeight="1">
      <c r="A14" s="103"/>
      <c r="B14" s="103"/>
      <c r="C14" s="100" t="s">
        <v>664</v>
      </c>
      <c r="D14" s="151" t="s">
        <v>253</v>
      </c>
      <c r="E14" s="103"/>
      <c r="F14" s="103"/>
      <c r="G14" s="103"/>
      <c r="H14" s="103"/>
      <c r="I14" s="175"/>
      <c r="J14" s="178">
        <v>22.5</v>
      </c>
      <c r="K14" s="178">
        <v>30</v>
      </c>
      <c r="L14" s="178">
        <v>25</v>
      </c>
      <c r="M14" s="178">
        <v>22.5</v>
      </c>
      <c r="N14" s="178">
        <v>30</v>
      </c>
      <c r="O14" s="178">
        <v>25</v>
      </c>
    </row>
    <row r="15" spans="1:23" s="100" customFormat="1" ht="18.75" customHeight="1">
      <c r="C15" s="100" t="s">
        <v>665</v>
      </c>
      <c r="D15" s="163">
        <f>D16*D17*D18*D19*D4</f>
        <v>0.86062499999999997</v>
      </c>
      <c r="E15" s="100" t="s">
        <v>339</v>
      </c>
      <c r="I15" s="175"/>
      <c r="J15" s="178">
        <v>1.35</v>
      </c>
      <c r="K15" s="178">
        <v>1.5</v>
      </c>
      <c r="L15" s="179">
        <f>TREND(J15:K15,J14:K14,L14)</f>
        <v>1.4</v>
      </c>
      <c r="M15" s="178">
        <v>1.45</v>
      </c>
      <c r="N15" s="178">
        <v>1.8</v>
      </c>
      <c r="O15" s="179">
        <f>TREND(M15:N15,M14:N14,O14)</f>
        <v>1.56666666666667</v>
      </c>
      <c r="Q15" s="100" t="s">
        <v>364</v>
      </c>
      <c r="R15" s="100" t="s">
        <v>666</v>
      </c>
      <c r="S15" s="100" t="s">
        <v>667</v>
      </c>
    </row>
    <row r="16" spans="1:23" s="100" customFormat="1" ht="18.75" customHeight="1">
      <c r="C16" s="115" t="s">
        <v>668</v>
      </c>
      <c r="D16" s="151">
        <v>1</v>
      </c>
      <c r="Q16" s="100">
        <v>5</v>
      </c>
      <c r="R16" s="100">
        <v>0.1</v>
      </c>
      <c r="S16" s="100">
        <v>-0.5</v>
      </c>
    </row>
    <row r="17" spans="1:19" s="100" customFormat="1" ht="18.75" customHeight="1">
      <c r="C17" s="115" t="s">
        <v>669</v>
      </c>
      <c r="D17" s="151">
        <v>1.5</v>
      </c>
      <c r="Q17" s="100">
        <v>10</v>
      </c>
      <c r="R17" s="100">
        <v>0.25</v>
      </c>
      <c r="S17" s="100">
        <v>-0.65</v>
      </c>
    </row>
    <row r="18" spans="1:19" s="100" customFormat="1" ht="18.75" customHeight="1">
      <c r="C18" s="115" t="s">
        <v>670</v>
      </c>
      <c r="D18" s="163">
        <v>1.5</v>
      </c>
      <c r="J18" s="365" t="s">
        <v>658</v>
      </c>
      <c r="K18" s="365"/>
      <c r="L18" s="365"/>
      <c r="Q18" s="100">
        <v>20</v>
      </c>
      <c r="R18" s="100">
        <v>0.6</v>
      </c>
      <c r="S18" s="100">
        <v>-1</v>
      </c>
    </row>
    <row r="19" spans="1:19" s="100" customFormat="1" ht="18.75" customHeight="1">
      <c r="C19" s="115" t="s">
        <v>671</v>
      </c>
      <c r="D19" s="163">
        <f>IF(D14="自定义",L6,L20)</f>
        <v>0.85</v>
      </c>
      <c r="J19" s="180">
        <f>IF(D6&lt;5,5,IF(D6&gt;55,55,INDEX($Q$16:$Q$21,MATCH(D6,$Q$16:$Q$21),1)))</f>
        <v>20</v>
      </c>
      <c r="K19" s="180">
        <f>IF(D6&lt;5,5,IF(D6&gt;54.9,55,INDEX($Q$16:$Q$20,MATCH(D6,$Q$16:$Q$20)+1,1)))</f>
        <v>30</v>
      </c>
      <c r="L19" s="180">
        <f>$D$6</f>
        <v>20</v>
      </c>
      <c r="Q19" s="100">
        <v>30</v>
      </c>
      <c r="R19" s="100">
        <v>1</v>
      </c>
      <c r="S19" s="100">
        <v>-1.3</v>
      </c>
    </row>
    <row r="20" spans="1:19" s="100" customFormat="1" ht="18.75" customHeight="1">
      <c r="A20" s="107" t="s">
        <v>672</v>
      </c>
      <c r="B20" s="107"/>
      <c r="C20" s="107"/>
      <c r="D20" s="107"/>
      <c r="E20" s="107"/>
      <c r="F20" s="107"/>
      <c r="G20" s="107"/>
      <c r="H20" s="107"/>
      <c r="J20" s="180">
        <f>VLOOKUP(J19,$Q$16:$S$21,2,FALSE)</f>
        <v>0.6</v>
      </c>
      <c r="K20" s="180">
        <f>VLOOKUP(K19,$Q$16:$S$21,2,FALSE)</f>
        <v>1</v>
      </c>
      <c r="L20" s="180">
        <f>TREND(J20:K20,J19:K19,L19)</f>
        <v>0.6</v>
      </c>
      <c r="Q20" s="100">
        <v>40</v>
      </c>
      <c r="R20" s="100">
        <v>1.3</v>
      </c>
      <c r="S20" s="100">
        <v>-1.6</v>
      </c>
    </row>
    <row r="21" spans="1:19" s="100" customFormat="1" ht="18.75" customHeight="1">
      <c r="C21" s="100" t="s">
        <v>673</v>
      </c>
      <c r="D21" s="163">
        <f>D22*D23*D24*D25*D4</f>
        <v>-1.0125</v>
      </c>
      <c r="E21" s="100" t="s">
        <v>339</v>
      </c>
      <c r="Q21" s="100">
        <v>55</v>
      </c>
      <c r="R21" s="100">
        <v>1.3</v>
      </c>
      <c r="S21" s="100">
        <v>-1.6</v>
      </c>
    </row>
    <row r="22" spans="1:19" s="100" customFormat="1" ht="18.75" customHeight="1">
      <c r="C22" s="115" t="s">
        <v>668</v>
      </c>
      <c r="D22" s="151">
        <v>1</v>
      </c>
      <c r="J22" s="365" t="s">
        <v>658</v>
      </c>
      <c r="K22" s="365"/>
      <c r="L22" s="365"/>
    </row>
    <row r="23" spans="1:19" s="100" customFormat="1" ht="18.75" customHeight="1">
      <c r="C23" s="115" t="s">
        <v>669</v>
      </c>
      <c r="D23" s="163">
        <v>1.5</v>
      </c>
      <c r="J23" s="180">
        <f>IF(D6&lt;5,5,IF(D6&gt;55,55,INDEX($Q$16:$Q$20,MATCH(D6,$Q$16:$Q$20),1)))</f>
        <v>20</v>
      </c>
      <c r="K23" s="180">
        <f>IF(D6&lt;5,5,IF(D6&gt;54.9,55,INDEX($Q$16:$Q$20,MATCH(D6,$Q$16:$Q$20)+1,1)))</f>
        <v>30</v>
      </c>
      <c r="L23" s="180">
        <f>$D$6</f>
        <v>20</v>
      </c>
    </row>
    <row r="24" spans="1:19" s="100" customFormat="1" ht="18.75" customHeight="1">
      <c r="C24" s="115" t="s">
        <v>670</v>
      </c>
      <c r="D24" s="163">
        <v>1.5</v>
      </c>
      <c r="J24" s="180">
        <f>VLOOKUP(J23,$Q$16:$S$21,3,FALSE)</f>
        <v>-1</v>
      </c>
      <c r="K24" s="180">
        <f>VLOOKUP(K23,$Q$16:$S$21,3,FALSE)</f>
        <v>-1.3</v>
      </c>
      <c r="L24" s="180">
        <f>TREND(J24:K24,J23:K23,L23)</f>
        <v>-1</v>
      </c>
    </row>
    <row r="25" spans="1:19" s="100" customFormat="1" ht="18.75" customHeight="1">
      <c r="C25" s="115" t="s">
        <v>671</v>
      </c>
      <c r="D25" s="163">
        <f>IF(D14="自定义",L7,L24)</f>
        <v>-1</v>
      </c>
      <c r="Q25" s="100" t="s">
        <v>364</v>
      </c>
      <c r="R25" s="100" t="s">
        <v>365</v>
      </c>
    </row>
    <row r="26" spans="1:19" s="100" customFormat="1" ht="18.75" customHeight="1">
      <c r="A26" s="100" t="s">
        <v>674</v>
      </c>
      <c r="Q26" s="100">
        <v>25</v>
      </c>
      <c r="R26" s="100">
        <v>1</v>
      </c>
    </row>
    <row r="27" spans="1:19" s="100" customFormat="1" ht="18.75" customHeight="1">
      <c r="C27" s="100" t="s">
        <v>675</v>
      </c>
      <c r="D27" s="163">
        <f>D5*D28</f>
        <v>0.25</v>
      </c>
      <c r="E27" s="107" t="s">
        <v>339</v>
      </c>
      <c r="J27" s="365" t="s">
        <v>658</v>
      </c>
      <c r="K27" s="365"/>
      <c r="L27" s="365"/>
      <c r="Q27" s="100">
        <v>30</v>
      </c>
      <c r="R27" s="100">
        <v>0.8</v>
      </c>
    </row>
    <row r="28" spans="1:19" s="100" customFormat="1" ht="18.75" customHeight="1">
      <c r="C28" s="100" t="s">
        <v>361</v>
      </c>
      <c r="D28" s="163">
        <f>L29</f>
        <v>1</v>
      </c>
      <c r="J28" s="180">
        <f>IF(D6&lt;25,25,IF(D6&gt;49.9,50,INDEX($Q$26:$Q$31,MATCH(D6,$Q$26:$Q$31),1)))</f>
        <v>25</v>
      </c>
      <c r="K28" s="180">
        <f>IF(D6&lt;25,25,IF(D6&gt;49.9,50,INDEX($Q$26:$Q$31,MATCH(D6,$Q$26:$Q$31)+1,1)))</f>
        <v>25</v>
      </c>
      <c r="L28" s="180">
        <f>$D$6</f>
        <v>20</v>
      </c>
      <c r="Q28" s="100">
        <v>35</v>
      </c>
      <c r="R28" s="100">
        <v>0.6</v>
      </c>
    </row>
    <row r="29" spans="1:19" s="100" customFormat="1" ht="18.75" customHeight="1">
      <c r="A29" s="366" t="s">
        <v>676</v>
      </c>
      <c r="B29" s="366"/>
      <c r="J29" s="180">
        <f>VLOOKUP(J28,$Q$26:$R$31,2,FALSE)</f>
        <v>1</v>
      </c>
      <c r="K29" s="180">
        <f>VLOOKUP(K28,$Q$26:$R$31,2,FALSE)</f>
        <v>1</v>
      </c>
      <c r="L29" s="180">
        <f>TREND(J29:K29,J28:K28,L28)</f>
        <v>1</v>
      </c>
      <c r="Q29" s="100">
        <v>40</v>
      </c>
      <c r="R29" s="100">
        <v>0.4</v>
      </c>
    </row>
    <row r="30" spans="1:19" s="100" customFormat="1" ht="18.75" customHeight="1">
      <c r="B30" s="167" t="s">
        <v>677</v>
      </c>
      <c r="C30" s="167" t="s">
        <v>678</v>
      </c>
      <c r="Q30" s="100">
        <v>45</v>
      </c>
      <c r="R30" s="100">
        <v>0.2</v>
      </c>
    </row>
    <row r="31" spans="1:19" s="100" customFormat="1" ht="18.75" customHeight="1">
      <c r="C31" s="115" t="s">
        <v>679</v>
      </c>
      <c r="D31" s="163">
        <f>ROUND(D11/100/D9/2,3)</f>
        <v>0.13800000000000001</v>
      </c>
      <c r="E31" s="103" t="s">
        <v>155</v>
      </c>
      <c r="Q31" s="100">
        <v>50</v>
      </c>
      <c r="R31" s="100">
        <v>0</v>
      </c>
    </row>
    <row r="32" spans="1:19" s="100" customFormat="1" ht="18.75" customHeight="1">
      <c r="C32" s="115" t="s">
        <v>680</v>
      </c>
      <c r="D32" s="163">
        <f>ROUND(D15*D12/D9/2,3)</f>
        <v>1.026</v>
      </c>
      <c r="E32" s="103" t="s">
        <v>155</v>
      </c>
    </row>
    <row r="33" spans="1:45" s="100" customFormat="1" ht="18.75" customHeight="1">
      <c r="C33" s="115" t="s">
        <v>681</v>
      </c>
      <c r="D33" s="163">
        <f>ROUND(D21*D12/D9/2,3)</f>
        <v>-1.2070000000000001</v>
      </c>
      <c r="E33" s="103" t="s">
        <v>155</v>
      </c>
    </row>
    <row r="34" spans="1:45" s="100" customFormat="1" ht="18.75" customHeight="1">
      <c r="C34" s="115" t="s">
        <v>682</v>
      </c>
      <c r="D34" s="163">
        <f>ROUND(D27*D12/D9/2,3)</f>
        <v>0.29799999999999999</v>
      </c>
      <c r="E34" s="103" t="s">
        <v>155</v>
      </c>
    </row>
    <row r="35" spans="1:45" s="100" customFormat="1" ht="18.75" customHeight="1">
      <c r="B35" s="167" t="s">
        <v>683</v>
      </c>
      <c r="C35" s="167" t="s">
        <v>684</v>
      </c>
    </row>
    <row r="36" spans="1:45" s="100" customFormat="1" ht="18.75" customHeight="1">
      <c r="C36" s="115" t="s">
        <v>685</v>
      </c>
      <c r="D36" s="163">
        <f t="shared" ref="D36:D39" si="0">D31*$D$7</f>
        <v>2.9946000000000002</v>
      </c>
      <c r="E36" s="103" t="s">
        <v>315</v>
      </c>
    </row>
    <row r="37" spans="1:45" s="100" customFormat="1" ht="18.75" customHeight="1">
      <c r="C37" s="115" t="s">
        <v>686</v>
      </c>
      <c r="D37" s="163">
        <f t="shared" si="0"/>
        <v>22.264199999999999</v>
      </c>
      <c r="E37" s="103" t="s">
        <v>315</v>
      </c>
      <c r="P37" s="100">
        <v>1</v>
      </c>
      <c r="Q37" s="100">
        <v>2</v>
      </c>
      <c r="R37" s="100">
        <v>3</v>
      </c>
      <c r="S37" s="100">
        <v>4</v>
      </c>
      <c r="T37" s="100">
        <v>5</v>
      </c>
      <c r="U37" s="100">
        <v>6</v>
      </c>
      <c r="V37" s="100">
        <v>7</v>
      </c>
      <c r="W37" s="100">
        <v>8</v>
      </c>
      <c r="X37" s="100">
        <v>9</v>
      </c>
    </row>
    <row r="38" spans="1:45" s="100" customFormat="1" ht="18.75" customHeight="1">
      <c r="C38" s="115" t="s">
        <v>687</v>
      </c>
      <c r="D38" s="163">
        <f t="shared" si="0"/>
        <v>-26.1919</v>
      </c>
      <c r="E38" s="103" t="s">
        <v>315</v>
      </c>
      <c r="Q38" s="367" t="s">
        <v>347</v>
      </c>
      <c r="R38" s="367"/>
      <c r="S38" s="368" t="s">
        <v>348</v>
      </c>
      <c r="T38" s="368"/>
      <c r="U38" s="369" t="s">
        <v>349</v>
      </c>
      <c r="V38" s="369"/>
      <c r="W38" s="370" t="s">
        <v>350</v>
      </c>
      <c r="X38" s="370"/>
    </row>
    <row r="39" spans="1:45" s="100" customFormat="1" ht="18.75" customHeight="1">
      <c r="C39" s="115" t="s">
        <v>688</v>
      </c>
      <c r="D39" s="163">
        <f t="shared" si="0"/>
        <v>6.4665999999999997</v>
      </c>
      <c r="E39" s="103" t="s">
        <v>315</v>
      </c>
      <c r="Q39" s="100" t="s">
        <v>352</v>
      </c>
      <c r="R39" s="100" t="s">
        <v>353</v>
      </c>
      <c r="S39" s="100" t="s">
        <v>354</v>
      </c>
      <c r="T39" s="100" t="s">
        <v>355</v>
      </c>
      <c r="U39" s="100" t="s">
        <v>356</v>
      </c>
      <c r="V39" s="100" t="s">
        <v>357</v>
      </c>
      <c r="W39" s="100" t="s">
        <v>358</v>
      </c>
      <c r="X39" s="100" t="s">
        <v>359</v>
      </c>
    </row>
    <row r="40" spans="1:45" s="100" customFormat="1" ht="18.75" customHeight="1">
      <c r="A40" s="366" t="s">
        <v>689</v>
      </c>
      <c r="B40" s="366"/>
      <c r="C40" s="366"/>
      <c r="P40" s="100">
        <v>2</v>
      </c>
      <c r="Q40" s="100">
        <v>7.0000000000000007E-2</v>
      </c>
      <c r="R40" s="100">
        <v>7.0000000000000007E-2</v>
      </c>
      <c r="S40" s="100">
        <v>-0.125</v>
      </c>
      <c r="T40" s="100">
        <v>-0.125</v>
      </c>
      <c r="U40" s="100">
        <v>0.375</v>
      </c>
      <c r="V40" s="100">
        <v>-0.625</v>
      </c>
      <c r="W40" s="100">
        <v>0.52100000000000002</v>
      </c>
      <c r="X40" s="100">
        <v>0.52100000000000002</v>
      </c>
    </row>
    <row r="41" spans="1:45" s="100" customFormat="1" ht="18.75" customHeight="1">
      <c r="C41" s="115" t="s">
        <v>690</v>
      </c>
      <c r="D41" s="151">
        <v>1.2</v>
      </c>
      <c r="P41" s="100">
        <v>3</v>
      </c>
      <c r="Q41" s="100">
        <v>0.08</v>
      </c>
      <c r="R41" s="100">
        <v>2.5000000000000001E-2</v>
      </c>
      <c r="S41" s="100">
        <v>-0.1</v>
      </c>
      <c r="T41" s="100">
        <v>-0.1</v>
      </c>
      <c r="U41" s="100">
        <v>0.4</v>
      </c>
      <c r="V41" s="100">
        <v>-0.6</v>
      </c>
      <c r="W41" s="100">
        <v>0.67700000000000005</v>
      </c>
      <c r="X41" s="100">
        <v>5.1999999999999998E-2</v>
      </c>
      <c r="AL41" s="107"/>
      <c r="AM41" s="107"/>
      <c r="AN41" s="107"/>
      <c r="AO41" s="107"/>
      <c r="AP41" s="107"/>
      <c r="AQ41" s="107"/>
      <c r="AR41" s="107"/>
      <c r="AS41" s="107"/>
    </row>
    <row r="42" spans="1:45" s="100" customFormat="1" ht="18.75" customHeight="1">
      <c r="C42" s="115" t="s">
        <v>691</v>
      </c>
      <c r="D42" s="151">
        <v>1.4</v>
      </c>
      <c r="P42" s="100">
        <v>4</v>
      </c>
      <c r="Q42" s="100">
        <v>7.6999999999999999E-2</v>
      </c>
      <c r="R42" s="100">
        <v>3.5999999999999997E-2</v>
      </c>
      <c r="S42" s="100">
        <v>-0.107</v>
      </c>
      <c r="T42" s="100">
        <v>-7.0999999999999994E-2</v>
      </c>
      <c r="U42" s="100">
        <v>0.39300000000000002</v>
      </c>
      <c r="V42" s="100">
        <v>-0.60699999999999998</v>
      </c>
      <c r="W42" s="100">
        <v>0.63200000000000001</v>
      </c>
      <c r="X42" s="100">
        <v>0.186</v>
      </c>
    </row>
    <row r="43" spans="1:45" s="100" customFormat="1" ht="18.75" customHeight="1">
      <c r="C43" s="115" t="s">
        <v>692</v>
      </c>
      <c r="D43" s="151">
        <v>0.7</v>
      </c>
      <c r="P43" s="100">
        <v>5</v>
      </c>
      <c r="Q43" s="100">
        <v>7.8E-2</v>
      </c>
      <c r="R43" s="100">
        <v>4.5999999999999999E-2</v>
      </c>
      <c r="S43" s="100">
        <v>-0.105</v>
      </c>
      <c r="T43" s="100">
        <v>-7.9000000000000001E-2</v>
      </c>
      <c r="U43" s="100">
        <v>0.39400000000000002</v>
      </c>
      <c r="V43" s="100">
        <v>-0.60599999999999998</v>
      </c>
      <c r="W43" s="100">
        <v>0.64400000000000002</v>
      </c>
      <c r="X43" s="100">
        <v>0.151</v>
      </c>
    </row>
    <row r="44" spans="1:45" s="100" customFormat="1" ht="18.75" customHeight="1">
      <c r="C44" s="115" t="s">
        <v>693</v>
      </c>
      <c r="D44" s="151">
        <v>5</v>
      </c>
    </row>
    <row r="45" spans="1:45" s="100" customFormat="1" ht="18.75" customHeight="1">
      <c r="B45" s="100" t="s">
        <v>694</v>
      </c>
      <c r="C45" s="100" t="s">
        <v>695</v>
      </c>
      <c r="D45" s="366" t="s">
        <v>696</v>
      </c>
      <c r="E45" s="366"/>
      <c r="F45" s="366"/>
    </row>
    <row r="46" spans="1:45" s="100" customFormat="1" ht="18.75" customHeight="1">
      <c r="C46" s="115" t="s">
        <v>697</v>
      </c>
      <c r="D46" s="163">
        <f>ROUND(D41*(D31+D78)*COS(RADIANS(D6))+D42*D32+D43*D42*D34*COS(RADIANS(D6)),3)</f>
        <v>1.905</v>
      </c>
      <c r="E46" s="103" t="s">
        <v>155</v>
      </c>
    </row>
    <row r="47" spans="1:45" s="100" customFormat="1" ht="18.75" customHeight="1">
      <c r="C47" s="100" t="s">
        <v>698</v>
      </c>
      <c r="D47" s="366" t="s">
        <v>699</v>
      </c>
      <c r="E47" s="366"/>
      <c r="F47" s="366"/>
    </row>
    <row r="48" spans="1:45" s="100" customFormat="1" ht="18.75" customHeight="1">
      <c r="C48" s="115" t="s">
        <v>697</v>
      </c>
      <c r="D48" s="163">
        <f>ROUND(D41*(D31+D78)*SIN(RADIANS(D6))+D43*D42*D34*SIN(RADIANS(D6)),3)</f>
        <v>0.17100000000000001</v>
      </c>
      <c r="E48" s="103" t="s">
        <v>155</v>
      </c>
    </row>
    <row r="49" spans="2:6" s="100" customFormat="1" ht="18.75" customHeight="1">
      <c r="C49" s="115" t="s">
        <v>700</v>
      </c>
      <c r="D49" s="100" t="s">
        <v>701</v>
      </c>
      <c r="E49" s="163">
        <f>ROUND(D53*D46*D7^2,3)</f>
        <v>-94.19</v>
      </c>
      <c r="F49" s="103" t="s">
        <v>400</v>
      </c>
    </row>
    <row r="50" spans="2:6" s="100" customFormat="1" ht="18.75" customHeight="1">
      <c r="C50" s="115" t="s">
        <v>702</v>
      </c>
      <c r="D50" s="100" t="s">
        <v>703</v>
      </c>
      <c r="E50" s="163">
        <f>ROUND(D53*D48*(D7*AC77)^2,3)</f>
        <v>-8.4550000000000001</v>
      </c>
      <c r="F50" s="103" t="s">
        <v>400</v>
      </c>
    </row>
    <row r="51" spans="2:6" s="100" customFormat="1" ht="18.75" customHeight="1">
      <c r="C51" s="115" t="s">
        <v>704</v>
      </c>
      <c r="D51" s="100" t="s">
        <v>705</v>
      </c>
      <c r="E51" s="163">
        <f>ROUND(D54*D46*D7,2)</f>
        <v>-25.05</v>
      </c>
      <c r="F51" s="103" t="s">
        <v>315</v>
      </c>
    </row>
    <row r="52" spans="2:6" s="100" customFormat="1" ht="18.75" customHeight="1">
      <c r="C52" s="115" t="s">
        <v>706</v>
      </c>
      <c r="D52" s="100" t="s">
        <v>707</v>
      </c>
      <c r="E52" s="163">
        <f>ROUND(D54*D48*D7,2)</f>
        <v>-2.25</v>
      </c>
      <c r="F52" s="103" t="s">
        <v>315</v>
      </c>
    </row>
    <row r="53" spans="2:6" s="100" customFormat="1" ht="18.75" customHeight="1">
      <c r="C53" s="115" t="s">
        <v>39</v>
      </c>
      <c r="D53" s="163">
        <f>VLOOKUP(D44,P40:X43,4,FALSE)</f>
        <v>-0.105</v>
      </c>
    </row>
    <row r="54" spans="2:6" s="100" customFormat="1" ht="18.75" customHeight="1">
      <c r="C54" s="115" t="s">
        <v>42</v>
      </c>
      <c r="D54" s="163">
        <f>VLOOKUP(D44,P37:X43,7,FALSE)</f>
        <v>-0.60599999999999998</v>
      </c>
    </row>
    <row r="55" spans="2:6" s="100" customFormat="1" ht="18.75" customHeight="1">
      <c r="B55" s="100" t="s">
        <v>708</v>
      </c>
      <c r="C55" s="100" t="s">
        <v>695</v>
      </c>
      <c r="D55" s="366" t="s">
        <v>709</v>
      </c>
      <c r="E55" s="366"/>
      <c r="F55" s="366"/>
    </row>
    <row r="56" spans="2:6" s="100" customFormat="1" ht="18.75" customHeight="1">
      <c r="C56" s="115" t="s">
        <v>697</v>
      </c>
      <c r="D56" s="163">
        <f>ROUND((D31+D78)*COS(RADIANS(D6))+D42*D33,3)</f>
        <v>-1.528</v>
      </c>
      <c r="E56" s="103" t="s">
        <v>155</v>
      </c>
    </row>
    <row r="57" spans="2:6" s="100" customFormat="1" ht="18.75" customHeight="1">
      <c r="C57" s="100" t="s">
        <v>698</v>
      </c>
      <c r="D57" s="366" t="s">
        <v>710</v>
      </c>
      <c r="E57" s="366"/>
      <c r="F57" s="366"/>
    </row>
    <row r="58" spans="2:6" s="100" customFormat="1" ht="18.75" customHeight="1">
      <c r="C58" s="115" t="s">
        <v>697</v>
      </c>
      <c r="D58" s="163">
        <f>ROUND((D31+D78)*SIN(RADIANS(D6)),3)</f>
        <v>5.8999999999999997E-2</v>
      </c>
      <c r="E58" s="103" t="s">
        <v>155</v>
      </c>
    </row>
    <row r="59" spans="2:6" s="100" customFormat="1" ht="18.75" customHeight="1">
      <c r="C59" s="115" t="s">
        <v>711</v>
      </c>
      <c r="D59" s="100" t="s">
        <v>701</v>
      </c>
      <c r="E59" s="163">
        <f>ROUND(D64*D56*D7^2,3)</f>
        <v>-56.122999999999998</v>
      </c>
      <c r="F59" s="103" t="s">
        <v>400</v>
      </c>
    </row>
    <row r="60" spans="2:6" s="100" customFormat="1" ht="18.75" customHeight="1">
      <c r="C60" s="115" t="s">
        <v>712</v>
      </c>
      <c r="D60" s="100" t="s">
        <v>703</v>
      </c>
      <c r="E60" s="163">
        <f>ROUND(D64*D58*(D7*AC77)^2,3)</f>
        <v>2.1669999999999998</v>
      </c>
      <c r="F60" s="103" t="s">
        <v>400</v>
      </c>
    </row>
    <row r="61" spans="2:6" s="100" customFormat="1" ht="18.75" customHeight="1">
      <c r="C61" s="115" t="s">
        <v>704</v>
      </c>
      <c r="D61" s="100" t="s">
        <v>705</v>
      </c>
      <c r="E61" s="163">
        <f>ROUND(D63*D56*D7,2)</f>
        <v>20.09</v>
      </c>
      <c r="F61" s="103" t="s">
        <v>315</v>
      </c>
    </row>
    <row r="62" spans="2:6" s="100" customFormat="1" ht="18.75" customHeight="1">
      <c r="C62" s="115" t="s">
        <v>706</v>
      </c>
      <c r="D62" s="100" t="s">
        <v>707</v>
      </c>
      <c r="E62" s="163">
        <f>ROUND(D63*D58*D7,2)</f>
        <v>-0.78</v>
      </c>
      <c r="F62" s="103" t="s">
        <v>315</v>
      </c>
    </row>
    <row r="63" spans="2:6" s="100" customFormat="1" ht="18.75" customHeight="1">
      <c r="C63" s="115" t="s">
        <v>42</v>
      </c>
      <c r="D63" s="100">
        <f>VLOOKUP(D44,P37:X43,7,FALSE)</f>
        <v>-0.60599999999999998</v>
      </c>
    </row>
    <row r="64" spans="2:6" s="100" customFormat="1" ht="18.75" customHeight="1">
      <c r="C64" s="115" t="s">
        <v>45</v>
      </c>
      <c r="D64" s="100">
        <f>VLOOKUP(D44,P37:X43,2,FALSE)</f>
        <v>7.8E-2</v>
      </c>
    </row>
    <row r="65" spans="1:62" s="100" customFormat="1" ht="18.75" customHeight="1">
      <c r="A65" s="366" t="s">
        <v>713</v>
      </c>
      <c r="B65" s="366"/>
      <c r="C65" s="366"/>
      <c r="AE65" s="100">
        <v>1</v>
      </c>
      <c r="AF65" s="100">
        <v>2</v>
      </c>
      <c r="AG65" s="100">
        <v>3</v>
      </c>
      <c r="AH65" s="100">
        <v>4</v>
      </c>
      <c r="AI65" s="100">
        <v>5</v>
      </c>
      <c r="AJ65" s="100">
        <v>6</v>
      </c>
      <c r="AK65" s="100">
        <v>7</v>
      </c>
      <c r="AL65" s="100">
        <v>8</v>
      </c>
    </row>
    <row r="66" spans="1:62" s="100" customFormat="1" ht="18.75" customHeight="1">
      <c r="C66" s="100" t="s">
        <v>714</v>
      </c>
      <c r="D66" s="100">
        <f>ABS(E49)</f>
        <v>94.19</v>
      </c>
      <c r="E66" s="103" t="s">
        <v>400</v>
      </c>
      <c r="J66" s="100" t="s">
        <v>715</v>
      </c>
      <c r="K66" s="100">
        <v>1</v>
      </c>
      <c r="L66" s="100">
        <v>2</v>
      </c>
      <c r="M66" s="100">
        <v>3</v>
      </c>
      <c r="N66" s="100">
        <v>4</v>
      </c>
      <c r="O66" s="100">
        <v>5</v>
      </c>
      <c r="P66" s="100">
        <v>6</v>
      </c>
      <c r="Q66" s="100">
        <v>7</v>
      </c>
      <c r="R66" s="100">
        <v>8</v>
      </c>
      <c r="S66" s="100">
        <v>9</v>
      </c>
      <c r="T66" s="100">
        <v>10</v>
      </c>
      <c r="U66" s="100">
        <v>11</v>
      </c>
      <c r="V66" s="100">
        <v>12</v>
      </c>
      <c r="W66" s="100">
        <v>13</v>
      </c>
      <c r="X66" s="100">
        <v>14</v>
      </c>
      <c r="Y66" s="100">
        <v>15</v>
      </c>
      <c r="AB66" s="100" t="s">
        <v>716</v>
      </c>
      <c r="AF66" s="100" t="s">
        <v>484</v>
      </c>
      <c r="AG66" s="100" t="s">
        <v>717</v>
      </c>
      <c r="AH66" s="100" t="s">
        <v>113</v>
      </c>
      <c r="AI66" s="100" t="s">
        <v>718</v>
      </c>
    </row>
    <row r="67" spans="1:62" s="100" customFormat="1" ht="18.75" customHeight="1">
      <c r="C67" s="100" t="s">
        <v>719</v>
      </c>
      <c r="D67" s="100">
        <f>ABS(E50)</f>
        <v>8.4550000000000001</v>
      </c>
      <c r="E67" s="103" t="s">
        <v>400</v>
      </c>
      <c r="J67" s="100" t="s">
        <v>609</v>
      </c>
      <c r="K67" s="100" t="s">
        <v>72</v>
      </c>
      <c r="L67" s="100" t="s">
        <v>720</v>
      </c>
      <c r="M67" s="100" t="s">
        <v>721</v>
      </c>
      <c r="N67" s="100" t="s">
        <v>717</v>
      </c>
      <c r="O67" s="100" t="s">
        <v>722</v>
      </c>
      <c r="P67" s="100" t="s">
        <v>597</v>
      </c>
      <c r="Q67" s="100" t="s">
        <v>723</v>
      </c>
      <c r="R67" s="100" t="s">
        <v>724</v>
      </c>
      <c r="S67" s="100" t="s">
        <v>725</v>
      </c>
      <c r="T67" s="100" t="s">
        <v>726</v>
      </c>
      <c r="U67" s="100" t="s">
        <v>727</v>
      </c>
      <c r="V67" s="100" t="s">
        <v>728</v>
      </c>
      <c r="W67" s="100" t="s">
        <v>729</v>
      </c>
      <c r="X67" s="100" t="s">
        <v>730</v>
      </c>
      <c r="Y67" s="100" t="s">
        <v>731</v>
      </c>
      <c r="AB67" s="100">
        <v>0</v>
      </c>
      <c r="AC67" s="100">
        <v>1</v>
      </c>
      <c r="AE67" s="100" t="s">
        <v>419</v>
      </c>
      <c r="AF67" s="100">
        <v>205</v>
      </c>
      <c r="AG67" s="100">
        <f t="shared" ref="AG67:AG70" si="1">VLOOKUP($D$71,$K$68:$V$78,4,FALSE)</f>
        <v>2</v>
      </c>
      <c r="AH67" s="100">
        <f t="shared" ref="AH67:AH70" si="2">VLOOKUP($D$71,$K$68:$V$78,7,FALSE)</f>
        <v>434</v>
      </c>
      <c r="AI67" s="100">
        <v>1.58</v>
      </c>
      <c r="AJ67" s="100">
        <f t="shared" ref="AJ67:AJ70" si="3">1+(12*AI67-10)*AG67/(AH67/AG67)</f>
        <v>1.08258064516129</v>
      </c>
      <c r="AK67" s="100">
        <f t="shared" ref="AK67:AK70" si="4">IF(AG67&lt;1.99,AF67,ROUND(AJ67*AF67,3))</f>
        <v>221.929</v>
      </c>
      <c r="AL67" s="100">
        <v>235</v>
      </c>
    </row>
    <row r="68" spans="1:62" s="100" customFormat="1" ht="18.75" customHeight="1">
      <c r="C68" s="100" t="s">
        <v>732</v>
      </c>
      <c r="D68" s="100">
        <f>ABS(E59)</f>
        <v>56.122999999999998</v>
      </c>
      <c r="E68" s="103" t="s">
        <v>400</v>
      </c>
      <c r="J68" s="100">
        <v>1</v>
      </c>
      <c r="K68" s="163" t="str">
        <f t="shared" ref="K68:K78" si="5">IF(L68="","","C"&amp;L68&amp;"x"&amp;M68&amp;"x"&amp;O68&amp;"x"&amp;N68)</f>
        <v>C100x50x30x3</v>
      </c>
      <c r="L68" s="164">
        <v>100</v>
      </c>
      <c r="M68" s="164">
        <v>50</v>
      </c>
      <c r="N68" s="164">
        <v>3</v>
      </c>
      <c r="O68" s="164">
        <v>30</v>
      </c>
      <c r="P68" s="100">
        <f t="shared" ref="P68:P78" si="6">Q68*1000*0.00000785</f>
        <v>5.8403999999999998</v>
      </c>
      <c r="Q68" s="100">
        <f t="shared" ref="Q68:Q78" si="7">(L68+2*M68+2*O68-4*N68)*N68</f>
        <v>744</v>
      </c>
      <c r="R68" s="100">
        <f t="shared" ref="R68:R78" si="8">M68*(M68+2*O68)/(L68+2*M68+2*O68)</f>
        <v>21.153846153846199</v>
      </c>
      <c r="S68" s="100">
        <f t="shared" ref="S68:S78" si="9">L68^3*N68/12+(M68-2*N68)*N68^3/6+(L68-N68)^2*N68*(M68-2*N68)/2+O68^3*N68/6+O68*N68*(L68-O68)^2/2</f>
        <v>1105192</v>
      </c>
      <c r="T68" s="100">
        <f t="shared" ref="T68:T78" si="10">N68^3*L68/12+(R68-N68*0.5)^2*L68*N68+O68*N68^3/6+(M68-R68-N68*0.5)^2*O68*N68*2+(R68-N68)^3*N68/6+((R68-N68)*0.5)^2*(R68-N68)*N68*2+(M68-R68-N68)^3*N68/6+((M68-R68-N68)*0.5)^2*(M68-R68-N68)*N68*2</f>
        <v>297345.609467456</v>
      </c>
      <c r="U68" s="100">
        <f t="shared" ref="U68:U78" si="11">S68/(L68*0.5)</f>
        <v>22103.84</v>
      </c>
      <c r="V68" s="100">
        <f t="shared" ref="V68:V78" si="12">T68/(M68-R68)</f>
        <v>10307.9811282051</v>
      </c>
      <c r="W68" s="100">
        <f t="shared" ref="W68:W78" si="13">(M68*L68^2/4+O68*L68^2/2-O68^3*2/3)*N68*M68/S68</f>
        <v>34.880817088795403</v>
      </c>
      <c r="X68" s="100">
        <f t="shared" ref="X68:X78" si="14">(L68+2*M68+2*O68)*N68^3/3</f>
        <v>2340</v>
      </c>
      <c r="Y68" s="100">
        <f t="shared" ref="Y68:Y78" si="15">N68*M68^2*(M68*L68^2+3*O68*L68^2+6*O68^2*L68+4*O68^3)/6-S68*W68^2</f>
        <v>1215344501.2269399</v>
      </c>
      <c r="AB68" s="100">
        <v>1</v>
      </c>
      <c r="AC68" s="100">
        <v>0.5</v>
      </c>
      <c r="AE68" s="100" t="s">
        <v>93</v>
      </c>
      <c r="AF68" s="100">
        <v>300</v>
      </c>
      <c r="AG68" s="100">
        <f t="shared" si="1"/>
        <v>2</v>
      </c>
      <c r="AH68" s="100">
        <f t="shared" si="2"/>
        <v>434</v>
      </c>
      <c r="AI68" s="100">
        <v>1.48</v>
      </c>
      <c r="AJ68" s="100">
        <f t="shared" si="3"/>
        <v>1.07152073732719</v>
      </c>
      <c r="AK68" s="100">
        <f t="shared" si="4"/>
        <v>321.45600000000002</v>
      </c>
      <c r="AL68" s="100">
        <v>345</v>
      </c>
    </row>
    <row r="69" spans="1:62" s="100" customFormat="1" ht="18.75" customHeight="1">
      <c r="C69" s="100" t="s">
        <v>733</v>
      </c>
      <c r="D69" s="100">
        <f>ABS(E60)</f>
        <v>2.1669999999999998</v>
      </c>
      <c r="E69" s="103" t="s">
        <v>400</v>
      </c>
      <c r="J69" s="100">
        <v>2</v>
      </c>
      <c r="K69" s="163" t="str">
        <f t="shared" si="5"/>
        <v>C80x40x15x2</v>
      </c>
      <c r="L69" s="164">
        <v>80</v>
      </c>
      <c r="M69" s="164">
        <v>40</v>
      </c>
      <c r="N69" s="164">
        <v>2</v>
      </c>
      <c r="O69" s="164">
        <v>15</v>
      </c>
      <c r="P69" s="100">
        <f t="shared" si="6"/>
        <v>2.8574000000000002</v>
      </c>
      <c r="Q69" s="100">
        <f t="shared" si="7"/>
        <v>364</v>
      </c>
      <c r="R69" s="100">
        <f t="shared" si="8"/>
        <v>14.7368421052632</v>
      </c>
      <c r="S69" s="100">
        <f t="shared" si="9"/>
        <v>368905.33333333302</v>
      </c>
      <c r="T69" s="100">
        <f t="shared" si="10"/>
        <v>85128.435826408095</v>
      </c>
      <c r="U69" s="100">
        <f t="shared" si="11"/>
        <v>9222.6333333333296</v>
      </c>
      <c r="V69" s="100">
        <f t="shared" si="12"/>
        <v>3369.66725146199</v>
      </c>
      <c r="W69" s="100">
        <f t="shared" si="13"/>
        <v>23.8001438490091</v>
      </c>
      <c r="X69" s="100">
        <f t="shared" si="14"/>
        <v>506.66666666666703</v>
      </c>
      <c r="Y69" s="100">
        <f t="shared" si="15"/>
        <v>145968070.33903301</v>
      </c>
      <c r="AB69" s="100">
        <v>2</v>
      </c>
      <c r="AC69" s="100">
        <f>1/3</f>
        <v>0.33333333333333298</v>
      </c>
      <c r="AE69" s="100" t="s">
        <v>96</v>
      </c>
      <c r="AF69" s="100">
        <v>375</v>
      </c>
      <c r="AG69" s="100">
        <f t="shared" si="1"/>
        <v>2</v>
      </c>
      <c r="AH69" s="100">
        <f t="shared" si="2"/>
        <v>434</v>
      </c>
      <c r="AI69" s="100">
        <v>1.48</v>
      </c>
      <c r="AJ69" s="100">
        <f t="shared" si="3"/>
        <v>1.07152073732719</v>
      </c>
      <c r="AK69" s="100">
        <f t="shared" si="4"/>
        <v>401.82</v>
      </c>
      <c r="AL69" s="100">
        <v>420</v>
      </c>
      <c r="AT69" s="100" t="s">
        <v>734</v>
      </c>
      <c r="AU69" s="100" t="s">
        <v>735</v>
      </c>
    </row>
    <row r="70" spans="1:62" s="100" customFormat="1" ht="18.75" customHeight="1">
      <c r="C70" s="115" t="s">
        <v>103</v>
      </c>
      <c r="D70" s="151" t="s">
        <v>736</v>
      </c>
      <c r="J70" s="100">
        <v>3</v>
      </c>
      <c r="K70" s="163" t="str">
        <f t="shared" si="5"/>
        <v>C80x40x15x1.5</v>
      </c>
      <c r="L70" s="164">
        <v>80</v>
      </c>
      <c r="M70" s="164">
        <v>40</v>
      </c>
      <c r="N70" s="164">
        <v>1.5</v>
      </c>
      <c r="O70" s="164">
        <v>15</v>
      </c>
      <c r="P70" s="100">
        <f t="shared" si="6"/>
        <v>2.1665999999999999</v>
      </c>
      <c r="Q70" s="100">
        <f t="shared" si="7"/>
        <v>276</v>
      </c>
      <c r="R70" s="100">
        <f t="shared" si="8"/>
        <v>14.7368421052632</v>
      </c>
      <c r="S70" s="100">
        <f t="shared" si="9"/>
        <v>283398.25</v>
      </c>
      <c r="T70" s="100">
        <f t="shared" si="10"/>
        <v>66285.060941828197</v>
      </c>
      <c r="U70" s="100">
        <f t="shared" si="11"/>
        <v>7084.9562500000002</v>
      </c>
      <c r="V70" s="100">
        <f t="shared" si="12"/>
        <v>2623.7836622806999</v>
      </c>
      <c r="W70" s="100">
        <f t="shared" si="13"/>
        <v>23.235852726684101</v>
      </c>
      <c r="X70" s="100">
        <f t="shared" si="14"/>
        <v>213.75</v>
      </c>
      <c r="Y70" s="100">
        <f t="shared" si="15"/>
        <v>113191909.79478499</v>
      </c>
      <c r="AB70" s="100">
        <v>3</v>
      </c>
      <c r="AC70" s="100">
        <f>1/4</f>
        <v>0.25</v>
      </c>
      <c r="AE70" s="100" t="s">
        <v>737</v>
      </c>
      <c r="AF70" s="100">
        <v>392</v>
      </c>
      <c r="AG70" s="100">
        <f t="shared" si="1"/>
        <v>2</v>
      </c>
      <c r="AH70" s="100">
        <f t="shared" si="2"/>
        <v>434</v>
      </c>
      <c r="AI70" s="100">
        <v>1.48</v>
      </c>
      <c r="AJ70" s="100">
        <f t="shared" si="3"/>
        <v>1.07152073732719</v>
      </c>
      <c r="AK70" s="100">
        <f t="shared" si="4"/>
        <v>420.036</v>
      </c>
      <c r="AL70" s="100">
        <v>450</v>
      </c>
      <c r="AT70" s="100">
        <v>1.1299999999999999</v>
      </c>
      <c r="AU70" s="100">
        <v>0.46</v>
      </c>
    </row>
    <row r="71" spans="1:62" s="100" customFormat="1" ht="18.75" customHeight="1">
      <c r="C71" s="115" t="s">
        <v>407</v>
      </c>
      <c r="D71" s="151" t="s">
        <v>738</v>
      </c>
      <c r="J71" s="100">
        <v>4</v>
      </c>
      <c r="K71" s="163" t="str">
        <f t="shared" si="5"/>
        <v>C90x50x15x2</v>
      </c>
      <c r="L71" s="164">
        <v>90</v>
      </c>
      <c r="M71" s="164">
        <v>50</v>
      </c>
      <c r="N71" s="164">
        <v>2</v>
      </c>
      <c r="O71" s="164">
        <v>15</v>
      </c>
      <c r="P71" s="100">
        <f t="shared" si="6"/>
        <v>3.3283999999999998</v>
      </c>
      <c r="Q71" s="100">
        <f t="shared" si="7"/>
        <v>424</v>
      </c>
      <c r="R71" s="100">
        <f t="shared" si="8"/>
        <v>18.181818181818201</v>
      </c>
      <c r="S71" s="100">
        <f t="shared" si="9"/>
        <v>563285.33333333302</v>
      </c>
      <c r="T71" s="100">
        <f t="shared" si="10"/>
        <v>151203.349862259</v>
      </c>
      <c r="U71" s="100">
        <f t="shared" si="11"/>
        <v>12517.4518518519</v>
      </c>
      <c r="V71" s="100">
        <f t="shared" si="12"/>
        <v>4752.1052813852803</v>
      </c>
      <c r="W71" s="100">
        <f t="shared" si="13"/>
        <v>28.360404673534301</v>
      </c>
      <c r="X71" s="100">
        <f t="shared" si="14"/>
        <v>586.66666666666697</v>
      </c>
      <c r="Y71" s="100">
        <f t="shared" si="15"/>
        <v>300692535.340289</v>
      </c>
      <c r="AB71" s="100">
        <v>4</v>
      </c>
      <c r="AC71" s="100">
        <f>1/5</f>
        <v>0.2</v>
      </c>
      <c r="AT71" s="100">
        <v>1.35</v>
      </c>
      <c r="AU71" s="100">
        <v>0.14000000000000001</v>
      </c>
    </row>
    <row r="72" spans="1:62" s="100" customFormat="1" ht="18.75" customHeight="1">
      <c r="C72" s="115" t="s">
        <v>739</v>
      </c>
      <c r="D72" s="151">
        <v>0.9</v>
      </c>
      <c r="J72" s="100">
        <v>5</v>
      </c>
      <c r="K72" s="163" t="str">
        <f t="shared" si="5"/>
        <v>C115x40x15x2</v>
      </c>
      <c r="L72" s="164">
        <v>115</v>
      </c>
      <c r="M72" s="164">
        <v>40</v>
      </c>
      <c r="N72" s="164">
        <v>2</v>
      </c>
      <c r="O72" s="164">
        <v>15</v>
      </c>
      <c r="P72" s="100">
        <f t="shared" si="6"/>
        <v>3.4068999999999998</v>
      </c>
      <c r="Q72" s="100">
        <f t="shared" si="7"/>
        <v>434</v>
      </c>
      <c r="R72" s="100">
        <f t="shared" si="8"/>
        <v>12.4444444444444</v>
      </c>
      <c r="S72" s="100">
        <f t="shared" si="9"/>
        <v>864336.16666666698</v>
      </c>
      <c r="T72" s="100">
        <f t="shared" si="10"/>
        <v>96305.283950617304</v>
      </c>
      <c r="U72" s="100">
        <f t="shared" si="11"/>
        <v>15031.9333333333</v>
      </c>
      <c r="V72" s="100">
        <f t="shared" si="12"/>
        <v>3494.9498207885299</v>
      </c>
      <c r="W72" s="100">
        <f t="shared" si="13"/>
        <v>21.2128112962221</v>
      </c>
      <c r="X72" s="100">
        <f t="shared" si="14"/>
        <v>600</v>
      </c>
      <c r="Y72" s="100">
        <f t="shared" si="15"/>
        <v>300596438.21710098</v>
      </c>
      <c r="AB72" s="100">
        <v>5</v>
      </c>
      <c r="AC72" s="100">
        <f>1/6</f>
        <v>0.16666666666666699</v>
      </c>
      <c r="AT72" s="100">
        <v>1.37</v>
      </c>
      <c r="AU72" s="100">
        <v>0.06</v>
      </c>
    </row>
    <row r="73" spans="1:62" s="100" customFormat="1" ht="18.75" customHeight="1">
      <c r="C73" s="115" t="s">
        <v>740</v>
      </c>
      <c r="D73" s="151">
        <v>0.9</v>
      </c>
      <c r="J73" s="100">
        <v>6</v>
      </c>
      <c r="K73" s="163" t="str">
        <f t="shared" si="5"/>
        <v>C115x40x15x2</v>
      </c>
      <c r="L73" s="164">
        <v>115</v>
      </c>
      <c r="M73" s="164">
        <v>40</v>
      </c>
      <c r="N73" s="164">
        <v>2</v>
      </c>
      <c r="O73" s="164">
        <v>15</v>
      </c>
      <c r="P73" s="100">
        <f t="shared" si="6"/>
        <v>3.4068999999999998</v>
      </c>
      <c r="Q73" s="100">
        <f t="shared" si="7"/>
        <v>434</v>
      </c>
      <c r="R73" s="100">
        <f t="shared" si="8"/>
        <v>12.4444444444444</v>
      </c>
      <c r="S73" s="100">
        <f t="shared" si="9"/>
        <v>864336.16666666698</v>
      </c>
      <c r="T73" s="100">
        <f t="shared" si="10"/>
        <v>96305.283950617304</v>
      </c>
      <c r="U73" s="100">
        <f t="shared" si="11"/>
        <v>15031.9333333333</v>
      </c>
      <c r="V73" s="100">
        <f t="shared" si="12"/>
        <v>3494.9498207885299</v>
      </c>
      <c r="W73" s="100">
        <f t="shared" si="13"/>
        <v>21.2128112962221</v>
      </c>
      <c r="X73" s="100">
        <f t="shared" si="14"/>
        <v>600</v>
      </c>
      <c r="Y73" s="100">
        <f t="shared" si="15"/>
        <v>300596438.21710098</v>
      </c>
    </row>
    <row r="74" spans="1:62" s="100" customFormat="1" ht="18.75" customHeight="1">
      <c r="C74" s="115" t="s">
        <v>741</v>
      </c>
      <c r="D74" s="100">
        <f>VLOOKUP(D71,K68:V78,9,FALSE)*D72</f>
        <v>777902.55</v>
      </c>
      <c r="E74" s="103" t="s">
        <v>151</v>
      </c>
      <c r="J74" s="100">
        <v>7</v>
      </c>
      <c r="K74" s="163" t="str">
        <f t="shared" si="5"/>
        <v>C100x40x15x1.8</v>
      </c>
      <c r="L74" s="164">
        <v>100</v>
      </c>
      <c r="M74" s="164">
        <v>40</v>
      </c>
      <c r="N74" s="164">
        <v>1.8</v>
      </c>
      <c r="O74" s="164">
        <v>15</v>
      </c>
      <c r="P74" s="100">
        <f t="shared" si="6"/>
        <v>2.865564</v>
      </c>
      <c r="Q74" s="100">
        <f t="shared" si="7"/>
        <v>365.04</v>
      </c>
      <c r="R74" s="100">
        <f t="shared" si="8"/>
        <v>13.3333333333333</v>
      </c>
      <c r="S74" s="100">
        <f t="shared" si="9"/>
        <v>564497.92319999996</v>
      </c>
      <c r="T74" s="100">
        <f t="shared" si="10"/>
        <v>84033.283200000005</v>
      </c>
      <c r="U74" s="100">
        <f t="shared" si="11"/>
        <v>11289.958463999999</v>
      </c>
      <c r="V74" s="100">
        <f t="shared" si="12"/>
        <v>3151.2481200000002</v>
      </c>
      <c r="W74" s="100">
        <f t="shared" si="13"/>
        <v>22.033739166819299</v>
      </c>
      <c r="X74" s="100">
        <f t="shared" si="14"/>
        <v>408.24</v>
      </c>
      <c r="Y74" s="100">
        <f t="shared" si="15"/>
        <v>205224352.243101</v>
      </c>
    </row>
    <row r="75" spans="1:62" s="100" customFormat="1" ht="18.75" customHeight="1">
      <c r="C75" s="115" t="s">
        <v>742</v>
      </c>
      <c r="D75" s="100">
        <f>VLOOKUP(D71,K68:V78,10,FALSE)*D73</f>
        <v>86674.755555555501</v>
      </c>
      <c r="E75" s="103" t="s">
        <v>151</v>
      </c>
      <c r="J75" s="100">
        <v>8</v>
      </c>
      <c r="K75" s="163" t="str">
        <f t="shared" si="5"/>
        <v>C60x40x10x2</v>
      </c>
      <c r="L75" s="164">
        <v>60</v>
      </c>
      <c r="M75" s="164">
        <v>40</v>
      </c>
      <c r="N75" s="164">
        <v>2</v>
      </c>
      <c r="O75" s="164">
        <v>10</v>
      </c>
      <c r="P75" s="100">
        <f t="shared" si="6"/>
        <v>2.3864000000000001</v>
      </c>
      <c r="Q75" s="100">
        <f t="shared" si="7"/>
        <v>304</v>
      </c>
      <c r="R75" s="100">
        <f t="shared" si="8"/>
        <v>15</v>
      </c>
      <c r="S75" s="100">
        <f t="shared" si="9"/>
        <v>182485.33333333299</v>
      </c>
      <c r="T75" s="100">
        <f t="shared" si="10"/>
        <v>65765.333333333299</v>
      </c>
      <c r="U75" s="100">
        <f t="shared" si="11"/>
        <v>6082.8444444444403</v>
      </c>
      <c r="V75" s="100">
        <f t="shared" si="12"/>
        <v>2630.61333333333</v>
      </c>
      <c r="W75" s="100">
        <f t="shared" si="13"/>
        <v>23.380874444704201</v>
      </c>
      <c r="X75" s="100">
        <f t="shared" si="14"/>
        <v>426.66666666666703</v>
      </c>
      <c r="Y75" s="100">
        <f t="shared" si="15"/>
        <v>55974935.702595301</v>
      </c>
    </row>
    <row r="76" spans="1:62" s="100" customFormat="1" ht="18.75" customHeight="1">
      <c r="C76" s="115" t="s">
        <v>743</v>
      </c>
      <c r="D76" s="100">
        <f>VLOOKUP(D71,K68:V78,11,FALSE)*D72</f>
        <v>13528.74</v>
      </c>
      <c r="E76" s="103" t="s">
        <v>115</v>
      </c>
      <c r="J76" s="100">
        <v>9</v>
      </c>
      <c r="K76" s="163" t="str">
        <f t="shared" si="5"/>
        <v>C120x40x15x2</v>
      </c>
      <c r="L76" s="164">
        <v>120</v>
      </c>
      <c r="M76" s="164">
        <v>40</v>
      </c>
      <c r="N76" s="164">
        <v>2</v>
      </c>
      <c r="O76" s="164">
        <v>15</v>
      </c>
      <c r="P76" s="100">
        <f t="shared" si="6"/>
        <v>3.4853999999999998</v>
      </c>
      <c r="Q76" s="100">
        <f t="shared" si="7"/>
        <v>444</v>
      </c>
      <c r="R76" s="100">
        <f t="shared" si="8"/>
        <v>12.173913043478301</v>
      </c>
      <c r="S76" s="100">
        <f t="shared" si="9"/>
        <v>955812</v>
      </c>
      <c r="T76" s="100">
        <f t="shared" si="10"/>
        <v>97615.516068052893</v>
      </c>
      <c r="U76" s="100">
        <f t="shared" si="11"/>
        <v>15930.2</v>
      </c>
      <c r="V76" s="100">
        <f t="shared" si="12"/>
        <v>3508.0576086956498</v>
      </c>
      <c r="W76" s="100">
        <f t="shared" si="13"/>
        <v>20.9036923579114</v>
      </c>
      <c r="X76" s="100">
        <f t="shared" si="14"/>
        <v>613.33333333333303</v>
      </c>
      <c r="Y76" s="100">
        <f t="shared" si="15"/>
        <v>328744226.68892998</v>
      </c>
    </row>
    <row r="77" spans="1:62" s="100" customFormat="1" ht="18.75" customHeight="1">
      <c r="C77" s="115" t="s">
        <v>744</v>
      </c>
      <c r="D77" s="100">
        <f>VLOOKUP(D71,K68:V78,12,FALSE)*D73</f>
        <v>3145.4548387096802</v>
      </c>
      <c r="E77" s="103" t="s">
        <v>115</v>
      </c>
      <c r="J77" s="100">
        <v>10</v>
      </c>
      <c r="K77" s="163" t="str">
        <f t="shared" si="5"/>
        <v>C140x40x15x1.8</v>
      </c>
      <c r="L77" s="164">
        <v>140</v>
      </c>
      <c r="M77" s="164">
        <v>40</v>
      </c>
      <c r="N77" s="164">
        <v>1.8</v>
      </c>
      <c r="O77" s="164">
        <v>15</v>
      </c>
      <c r="P77" s="100">
        <f t="shared" si="6"/>
        <v>3.4307639999999999</v>
      </c>
      <c r="Q77" s="100">
        <f t="shared" si="7"/>
        <v>437.04</v>
      </c>
      <c r="R77" s="100">
        <f t="shared" si="8"/>
        <v>11.2</v>
      </c>
      <c r="S77" s="100">
        <f t="shared" si="9"/>
        <v>1249276.4831999999</v>
      </c>
      <c r="T77" s="100">
        <f t="shared" si="10"/>
        <v>93467.7408</v>
      </c>
      <c r="U77" s="100">
        <f t="shared" si="11"/>
        <v>17846.806902857101</v>
      </c>
      <c r="V77" s="100">
        <f t="shared" si="12"/>
        <v>3245.4076666666701</v>
      </c>
      <c r="W77" s="100">
        <f t="shared" si="13"/>
        <v>19.638567066560501</v>
      </c>
      <c r="X77" s="100">
        <f t="shared" si="14"/>
        <v>486</v>
      </c>
      <c r="Y77" s="100">
        <f t="shared" si="15"/>
        <v>415067395.58900499</v>
      </c>
      <c r="AB77" s="100">
        <f>D8</f>
        <v>0</v>
      </c>
      <c r="AC77" s="100">
        <f>VLOOKUP(AB77,AB67:AC72,2,FALSE)</f>
        <v>1</v>
      </c>
    </row>
    <row r="78" spans="1:62" s="100" customFormat="1" ht="18.75" customHeight="1">
      <c r="C78" s="115" t="s">
        <v>745</v>
      </c>
      <c r="D78" s="100">
        <f>VLOOKUP(D71,K68:T78,6,FALSE)/100</f>
        <v>3.4069000000000002E-2</v>
      </c>
      <c r="E78" s="103" t="s">
        <v>155</v>
      </c>
      <c r="J78" s="100">
        <v>11</v>
      </c>
      <c r="K78" s="163" t="str">
        <f t="shared" si="5"/>
        <v>C130x40x15x2</v>
      </c>
      <c r="L78" s="164">
        <v>130</v>
      </c>
      <c r="M78" s="164">
        <v>40</v>
      </c>
      <c r="N78" s="164">
        <v>2</v>
      </c>
      <c r="O78" s="164">
        <v>15</v>
      </c>
      <c r="P78" s="100">
        <f t="shared" si="6"/>
        <v>3.6423999999999999</v>
      </c>
      <c r="Q78" s="100">
        <f t="shared" si="7"/>
        <v>464</v>
      </c>
      <c r="R78" s="100">
        <f t="shared" si="8"/>
        <v>11.6666666666667</v>
      </c>
      <c r="S78" s="100">
        <f t="shared" si="9"/>
        <v>1155538.66666667</v>
      </c>
      <c r="T78" s="100">
        <f t="shared" si="10"/>
        <v>100067.555555556</v>
      </c>
      <c r="U78" s="100">
        <f t="shared" si="11"/>
        <v>17777.517948717901</v>
      </c>
      <c r="V78" s="100">
        <f t="shared" si="12"/>
        <v>3531.79607843137</v>
      </c>
      <c r="W78" s="100">
        <f t="shared" si="13"/>
        <v>20.319527746944001</v>
      </c>
      <c r="X78" s="100">
        <f t="shared" si="14"/>
        <v>640</v>
      </c>
      <c r="Y78" s="100">
        <f t="shared" si="15"/>
        <v>389830821.83508801</v>
      </c>
      <c r="AB78" s="100" t="s">
        <v>166</v>
      </c>
      <c r="AC78" s="100" t="s">
        <v>123</v>
      </c>
      <c r="AD78" s="100" t="s">
        <v>746</v>
      </c>
      <c r="AE78" s="100" t="s">
        <v>723</v>
      </c>
      <c r="AF78" s="100" t="s">
        <v>720</v>
      </c>
      <c r="AG78" s="100" t="s">
        <v>124</v>
      </c>
      <c r="AH78" s="100" t="s">
        <v>78</v>
      </c>
      <c r="AI78" s="100" t="s">
        <v>747</v>
      </c>
      <c r="AJ78" s="100" t="s">
        <v>748</v>
      </c>
      <c r="AK78" s="100" t="s">
        <v>749</v>
      </c>
      <c r="AL78" s="100" t="s">
        <v>750</v>
      </c>
      <c r="AM78" s="100" t="s">
        <v>751</v>
      </c>
      <c r="AN78" s="100" t="s">
        <v>752</v>
      </c>
      <c r="AO78" s="100" t="s">
        <v>753</v>
      </c>
      <c r="AP78" s="100" t="s">
        <v>754</v>
      </c>
      <c r="AQ78" s="100" t="s">
        <v>755</v>
      </c>
      <c r="AR78" s="100" t="s">
        <v>756</v>
      </c>
      <c r="AS78" s="100" t="s">
        <v>125</v>
      </c>
      <c r="AT78" s="100" t="s">
        <v>734</v>
      </c>
      <c r="AU78" s="100" t="s">
        <v>735</v>
      </c>
      <c r="AV78" s="100" t="s">
        <v>757</v>
      </c>
      <c r="AW78" s="100" t="s">
        <v>758</v>
      </c>
      <c r="AX78" s="100" t="s">
        <v>759</v>
      </c>
      <c r="AY78" s="100" t="s">
        <v>729</v>
      </c>
      <c r="AZ78" s="100" t="s">
        <v>760</v>
      </c>
      <c r="BA78" s="100" t="s">
        <v>761</v>
      </c>
      <c r="BB78" s="100" t="s">
        <v>730</v>
      </c>
      <c r="BC78" s="100" t="s">
        <v>731</v>
      </c>
      <c r="BD78" s="100" t="s">
        <v>762</v>
      </c>
      <c r="BE78" s="100" t="s">
        <v>763</v>
      </c>
      <c r="BF78" s="100" t="s">
        <v>764</v>
      </c>
      <c r="BG78" s="100" t="s">
        <v>765</v>
      </c>
      <c r="BH78" s="100" t="s">
        <v>766</v>
      </c>
    </row>
    <row r="79" spans="1:62" s="100" customFormat="1" ht="18.75" customHeight="1">
      <c r="C79" s="115" t="s">
        <v>73</v>
      </c>
      <c r="D79" s="151" t="s">
        <v>93</v>
      </c>
      <c r="AA79" s="100">
        <f>VLOOKUP(D79,AE67:AL70,8,FALSE)</f>
        <v>345</v>
      </c>
      <c r="AB79" s="100">
        <f>VLOOKUP($D$71,$K$68:$Y$78,2,FALSE)</f>
        <v>115</v>
      </c>
      <c r="AC79" s="100">
        <f>VLOOKUP($D$71,$K$68:$Y$78,3,FALSE)</f>
        <v>40</v>
      </c>
      <c r="AD79" s="100">
        <f>VLOOKUP($D$71,$K$68:$Y$78,8,FALSE)</f>
        <v>12.4444444444444</v>
      </c>
      <c r="AE79" s="100">
        <f>VLOOKUP($D$71,$K$68:$V$78,7,FALSE)</f>
        <v>434</v>
      </c>
      <c r="AF79" s="100">
        <f>VLOOKUP($D$71,$K$68:$V$78,2,FALSE)</f>
        <v>115</v>
      </c>
      <c r="AG79" s="100">
        <f>VLOOKUP($D$71,$K$68:$V$78,9,FALSE)</f>
        <v>864336.16666666698</v>
      </c>
      <c r="AH79" s="100">
        <f>VLOOKUP($D$71,$K$68:$V$78,10,FALSE)</f>
        <v>96305.283950617304</v>
      </c>
      <c r="AI79" s="100">
        <f>SQRT(AG79/AE79)</f>
        <v>44.626875173052497</v>
      </c>
      <c r="AJ79" s="100">
        <f>SQRT(AH79/AE79)</f>
        <v>14.896361163823901</v>
      </c>
      <c r="AK79" s="100">
        <f>D7*1000*AC77</f>
        <v>21700</v>
      </c>
      <c r="AL79" s="100">
        <f>AK79/AI79</f>
        <v>486.25407707468901</v>
      </c>
      <c r="AM79" s="100">
        <f>AK79/AJ79</f>
        <v>1456.7315978279901</v>
      </c>
      <c r="AN79" s="100">
        <f>AL79*SQRT(AP79+SQRT(AP79^2-AO79))</f>
        <v>510.48972571908899</v>
      </c>
      <c r="AO79" s="100">
        <f>(AR79-AZ79^2)/AQ79</f>
        <v>0.16901685264824101</v>
      </c>
      <c r="AP79" s="100">
        <f>(AQ79+AR79)/2/AQ79</f>
        <v>0.62775839800270905</v>
      </c>
      <c r="AQ79" s="100">
        <f>(BC79/AK79^2+0.039*BB79)*AL79^2/AE79</f>
        <v>13096.0879282314</v>
      </c>
      <c r="AR79" s="100">
        <f>AZ79^2+AI79^2+AJ79^2</f>
        <v>3346.2704276269301</v>
      </c>
      <c r="AS79" s="100">
        <f>VLOOKUP($D$71,$K$68:$Y$78,11,FALSE)</f>
        <v>15031.9333333333</v>
      </c>
      <c r="AT79" s="100">
        <f>IF(D16&lt;0.99,AT70,IF(D16&gt;2.99,AT72,AT71))</f>
        <v>1.35</v>
      </c>
      <c r="AU79" s="100">
        <f>IF(D16&lt;0.99,AU70,IF(D16&gt;2.99,AU72,AU71))</f>
        <v>0.14000000000000001</v>
      </c>
      <c r="AV79" s="100">
        <f>4*BC79/AB79^2/AH79+0.156*BB79*(AK79/AB79)^2/AH79</f>
        <v>35.549906476591197</v>
      </c>
      <c r="AW79" s="100">
        <f>2*AU79*AZ79/AB79</f>
        <v>8.1948100933796897E-2</v>
      </c>
      <c r="AX79" s="100">
        <f>4320*AE79*AB79*AT79*(SQRT(AW79^2+AV79)+AW79)*(235/AA79)/AS79/MAX(AM79,AL79)^2</f>
        <v>3.7572319479530103E-2</v>
      </c>
      <c r="AY79" s="100">
        <f>VLOOKUP($D$71,$K$68:$Y$78,13,FALSE)</f>
        <v>21.2128112962221</v>
      </c>
      <c r="AZ79" s="100">
        <f>AY79+AD79</f>
        <v>33.657255740666599</v>
      </c>
      <c r="BA79" s="100">
        <f>AC79*0.5+AY79</f>
        <v>41.2128112962221</v>
      </c>
      <c r="BB79" s="100">
        <f>VLOOKUP($D$71,$K$68:$Y$78,14,FALSE)</f>
        <v>600</v>
      </c>
      <c r="BC79" s="100">
        <f>VLOOKUP($D$71,$K$68:$Y$78,15,FALSE)</f>
        <v>300596438.21710098</v>
      </c>
      <c r="BD79" s="100">
        <f>SQRT(79000*BB79/200000/BC79)</f>
        <v>8.8793721386129E-4</v>
      </c>
      <c r="BE79" s="100">
        <f>SQRT(D46^2+D48^2)</f>
        <v>1.91265940512157</v>
      </c>
      <c r="BF79" s="100">
        <f>BE79*BA79/BD79/BD79</f>
        <v>99978211.909265906</v>
      </c>
      <c r="BG79" s="100">
        <f>BC79/AY79</f>
        <v>14170513.9417629</v>
      </c>
      <c r="BH79" s="100">
        <f>BF79/BG79</f>
        <v>7.0553695031916401</v>
      </c>
      <c r="BI79" s="100">
        <f>BF79*2</f>
        <v>199956423.81853199</v>
      </c>
      <c r="BJ79" s="100">
        <f>BI79/BG79</f>
        <v>14.1107390063833</v>
      </c>
    </row>
    <row r="80" spans="1:62" s="100" customFormat="1" ht="18.75" customHeight="1">
      <c r="C80" s="115" t="s">
        <v>108</v>
      </c>
      <c r="D80" s="100">
        <f>VLOOKUP(D79,AE67:AK70,2,FALSE)</f>
        <v>300</v>
      </c>
      <c r="E80" s="107" t="s">
        <v>109</v>
      </c>
    </row>
    <row r="81" spans="1:11" s="100" customFormat="1" ht="18.75" customHeight="1">
      <c r="C81" s="115" t="s">
        <v>767</v>
      </c>
      <c r="D81" s="371" t="s">
        <v>768</v>
      </c>
      <c r="E81" s="371"/>
    </row>
    <row r="82" spans="1:11" s="100" customFormat="1" ht="18.75" customHeight="1">
      <c r="C82" s="115" t="s">
        <v>697</v>
      </c>
      <c r="D82" s="100">
        <f>ROUND(D66*1000000/D76+D67*1000000/D77+BJ79,2)</f>
        <v>9664.33</v>
      </c>
      <c r="E82" s="100" t="str">
        <f>IF(D82&gt;F82,"&gt;","&lt;")</f>
        <v>&gt;</v>
      </c>
      <c r="F82" s="100">
        <f>D80</f>
        <v>300</v>
      </c>
      <c r="G82" s="182">
        <f>D82/F82</f>
        <v>32.214433333333297</v>
      </c>
      <c r="K82" s="100" t="s">
        <v>769</v>
      </c>
    </row>
    <row r="83" spans="1:11" s="100" customFormat="1" ht="18.75" customHeight="1">
      <c r="A83" s="371" t="str">
        <f>IF(D82&gt;F82,"强度不满足要求","强度满足要求")</f>
        <v>强度不满足要求</v>
      </c>
      <c r="B83" s="371"/>
      <c r="C83" s="371"/>
      <c r="D83" s="371"/>
      <c r="E83" s="371"/>
      <c r="F83" s="371"/>
      <c r="G83" s="371"/>
    </row>
    <row r="84" spans="1:11" s="100" customFormat="1" ht="18.75" customHeight="1">
      <c r="C84" s="115" t="s">
        <v>770</v>
      </c>
      <c r="D84" s="100">
        <f>VLOOKUP(D71,K68:V78,9,FALSE)</f>
        <v>864336.16666666698</v>
      </c>
      <c r="E84" s="103" t="s">
        <v>151</v>
      </c>
    </row>
    <row r="85" spans="1:11" s="100" customFormat="1" ht="18.75" customHeight="1">
      <c r="C85" s="115" t="s">
        <v>771</v>
      </c>
      <c r="D85" s="100">
        <f>VLOOKUP(D71,K68:V78,10,FALSE)</f>
        <v>96305.283950617304</v>
      </c>
      <c r="E85" s="103" t="s">
        <v>151</v>
      </c>
    </row>
    <row r="86" spans="1:11" s="100" customFormat="1" ht="18.75" customHeight="1">
      <c r="C86" s="115" t="s">
        <v>772</v>
      </c>
      <c r="D86" s="100">
        <f>VLOOKUP(D71,K68:V78,11,FALSE)</f>
        <v>15031.9333333333</v>
      </c>
      <c r="E86" s="103" t="s">
        <v>115</v>
      </c>
    </row>
    <row r="87" spans="1:11" s="100" customFormat="1" ht="18.75" customHeight="1">
      <c r="C87" s="115" t="s">
        <v>773</v>
      </c>
      <c r="D87" s="100">
        <f>VLOOKUP(D71,K68:V78,12,FALSE)</f>
        <v>3494.9498207885299</v>
      </c>
      <c r="E87" s="103" t="s">
        <v>115</v>
      </c>
    </row>
    <row r="88" spans="1:11" s="100" customFormat="1" ht="18.75" customHeight="1">
      <c r="C88" s="115" t="s">
        <v>108</v>
      </c>
      <c r="D88" s="100">
        <f>VLOOKUP(D79,AE67:AK70,2,FALSE)</f>
        <v>300</v>
      </c>
      <c r="E88" s="107" t="s">
        <v>109</v>
      </c>
    </row>
    <row r="89" spans="1:11" s="100" customFormat="1" ht="18.75" customHeight="1">
      <c r="C89" s="115" t="s">
        <v>774</v>
      </c>
      <c r="D89" s="100">
        <f>ROUND(AX79,2)</f>
        <v>0.04</v>
      </c>
      <c r="E89" s="103"/>
    </row>
    <row r="90" spans="1:11" s="100" customFormat="1" ht="18.75" customHeight="1">
      <c r="C90" s="115" t="s">
        <v>767</v>
      </c>
      <c r="D90" s="371" t="s">
        <v>775</v>
      </c>
      <c r="E90" s="371"/>
    </row>
    <row r="91" spans="1:11" s="100" customFormat="1" ht="18.75" customHeight="1">
      <c r="C91" s="115" t="s">
        <v>697</v>
      </c>
      <c r="D91" s="100">
        <f>ROUND(D68*1000000/D89/D86+D69*1000000/D87,2)</f>
        <v>93959.66</v>
      </c>
      <c r="E91" s="100" t="str">
        <f>IF(D91&gt;F91,"&gt;","&lt;")</f>
        <v>&gt;</v>
      </c>
      <c r="F91" s="100">
        <f>D88</f>
        <v>300</v>
      </c>
      <c r="G91" s="182">
        <f>D91/F91</f>
        <v>313.19886666666702</v>
      </c>
    </row>
    <row r="92" spans="1:11" s="100" customFormat="1" ht="18.75" customHeight="1">
      <c r="A92" s="371" t="str">
        <f>IF(D91&gt;F91,"稳定不满足要求","稳定满足要求")</f>
        <v>稳定不满足要求</v>
      </c>
      <c r="B92" s="371"/>
      <c r="C92" s="371"/>
      <c r="D92" s="371"/>
      <c r="E92" s="371"/>
      <c r="F92" s="371"/>
      <c r="G92" s="371"/>
    </row>
    <row r="93" spans="1:11" s="100" customFormat="1" ht="18.75" customHeight="1"/>
    <row r="94" spans="1:11" s="100" customFormat="1" ht="18.75" customHeight="1"/>
    <row r="95" spans="1:11" s="100" customFormat="1" ht="18.75" customHeight="1"/>
    <row r="96" spans="1:11" s="100" customFormat="1" ht="18.75" customHeight="1"/>
    <row r="97" s="100" customFormat="1" ht="18.75" customHeight="1"/>
    <row r="98" s="100" customFormat="1" ht="18.75" customHeight="1"/>
    <row r="99" s="100" customFormat="1" ht="18.75" customHeight="1"/>
    <row r="100" s="100" customFormat="1" ht="18.75" customHeight="1"/>
    <row r="101" s="100" customFormat="1" ht="12.75"/>
    <row r="102" s="100" customFormat="1" ht="12.75"/>
    <row r="103" s="100" customFormat="1" ht="12.75"/>
    <row r="104" s="100" customFormat="1" ht="12.75"/>
    <row r="105" s="100" customFormat="1" ht="12.75"/>
    <row r="106" s="100" customFormat="1" ht="12.75"/>
    <row r="107" s="100" customFormat="1" ht="12.75"/>
    <row r="108" s="100" customFormat="1" ht="12.75"/>
    <row r="109" s="100" customFormat="1" ht="12.75"/>
    <row r="110" s="100" customFormat="1" ht="12.75"/>
    <row r="111" s="100" customFormat="1" ht="12.75"/>
    <row r="112" s="100" customFormat="1" ht="12.75"/>
    <row r="113" s="100" customFormat="1" ht="12.75"/>
    <row r="114" s="100" customFormat="1" ht="12.75"/>
    <row r="115" s="100" customFormat="1" ht="12.75"/>
    <row r="116" s="100" customFormat="1" ht="12.75"/>
    <row r="117" s="100" customFormat="1" ht="12.75"/>
    <row r="118" s="100" customFormat="1" ht="12.75"/>
    <row r="119" s="100" customFormat="1" ht="12.75"/>
    <row r="120" s="100" customFormat="1" ht="12.75"/>
    <row r="121" s="100" customFormat="1" ht="12.75"/>
    <row r="122" s="100" customFormat="1" ht="12.75"/>
    <row r="123" s="100" customFormat="1" ht="12.75"/>
    <row r="124" s="100" customFormat="1" ht="12.75"/>
    <row r="125" s="100" customFormat="1" ht="12.75"/>
    <row r="126" s="100" customFormat="1" ht="12.75"/>
    <row r="127" s="100" customFormat="1" ht="12.75"/>
    <row r="128" s="100" customFormat="1" ht="12.75"/>
    <row r="129" s="100" customFormat="1" ht="12.75"/>
    <row r="130" s="100" customFormat="1" ht="12.75"/>
    <row r="131" s="100" customFormat="1" ht="12.75"/>
    <row r="132" s="100" customFormat="1" ht="12.75"/>
    <row r="133" s="100" customFormat="1" ht="12.75"/>
    <row r="134" s="100" customFormat="1" ht="12.75"/>
    <row r="135" s="100" customFormat="1" ht="12.75"/>
    <row r="136" s="100" customFormat="1" ht="12.75"/>
    <row r="137" s="100" customFormat="1" ht="12.75"/>
    <row r="138" s="100" customFormat="1" ht="12.75"/>
    <row r="139" s="100" customFormat="1" ht="12.75"/>
    <row r="140" s="100" customFormat="1" ht="12.75"/>
    <row r="141" s="100" customFormat="1" ht="12.75"/>
    <row r="142" s="100" customFormat="1" ht="12.75"/>
    <row r="143" s="100" customFormat="1" ht="12.75"/>
    <row r="144" s="100" customFormat="1" ht="12.75"/>
    <row r="145" s="100" customFormat="1" ht="12.75"/>
    <row r="146" s="100" customFormat="1" ht="12.75"/>
    <row r="147" s="100" customFormat="1" ht="12.75"/>
    <row r="148" s="100" customFormat="1" ht="12.75"/>
    <row r="149" s="100" customFormat="1" ht="12.75"/>
    <row r="150" s="100" customFormat="1" ht="12.75"/>
    <row r="151" s="100" customFormat="1" ht="12.75"/>
    <row r="152" s="100" customFormat="1" ht="12.75"/>
    <row r="153" s="100" customFormat="1" ht="12.75"/>
    <row r="154" s="100" customFormat="1" ht="12.75"/>
    <row r="155" s="100" customFormat="1" ht="12.75"/>
    <row r="156" s="100" customFormat="1" ht="12.75"/>
    <row r="157" s="100" customFormat="1" ht="12.75"/>
    <row r="158" s="100" customFormat="1" ht="12.75"/>
  </sheetData>
  <mergeCells count="24">
    <mergeCell ref="A83:G83"/>
    <mergeCell ref="D90:E90"/>
    <mergeCell ref="A92:G92"/>
    <mergeCell ref="D47:F47"/>
    <mergeCell ref="D55:F55"/>
    <mergeCell ref="D57:F57"/>
    <mergeCell ref="A65:C65"/>
    <mergeCell ref="D81:E81"/>
    <mergeCell ref="S38:T38"/>
    <mergeCell ref="U38:V38"/>
    <mergeCell ref="W38:X38"/>
    <mergeCell ref="A40:C40"/>
    <mergeCell ref="D45:F45"/>
    <mergeCell ref="J18:L18"/>
    <mergeCell ref="J22:L22"/>
    <mergeCell ref="J27:L27"/>
    <mergeCell ref="A29:B29"/>
    <mergeCell ref="Q38:R38"/>
    <mergeCell ref="A1:H1"/>
    <mergeCell ref="S4:W4"/>
    <mergeCell ref="J9:L9"/>
    <mergeCell ref="M9:O9"/>
    <mergeCell ref="J13:L13"/>
    <mergeCell ref="M13:O13"/>
  </mergeCells>
  <phoneticPr fontId="80" type="noConversion"/>
  <conditionalFormatting sqref="A83:G83">
    <cfRule type="containsText" dxfId="48" priority="3" operator="containsText" text="强度不满足要求">
      <formula>NOT(ISERROR(SEARCH("强度不满足要求",A83)))</formula>
    </cfRule>
  </conditionalFormatting>
  <conditionalFormatting sqref="A92:G92">
    <cfRule type="containsText" dxfId="47" priority="1" operator="containsText" text="稳定不满足要求">
      <formula>NOT(ISERROR(SEARCH("稳定不满足要求",A92)))</formula>
    </cfRule>
    <cfRule type="containsText" dxfId="46" priority="2" operator="containsText" text="强度不满足要求">
      <formula>NOT(ISERROR(SEARCH("强度不满足要求",A92)))</formula>
    </cfRule>
  </conditionalFormatting>
  <dataValidations count="6">
    <dataValidation type="list" allowBlank="1" showInputMessage="1" showErrorMessage="1" sqref="D8" xr:uid="{00000000-0002-0000-0E00-000000000000}">
      <formula1>$AB$67:$AB$72</formula1>
    </dataValidation>
    <dataValidation type="list" allowBlank="1" showInputMessage="1" showErrorMessage="1" sqref="D14" xr:uid="{00000000-0002-0000-0E00-000001000000}">
      <formula1>"自定义,自动"</formula1>
    </dataValidation>
    <dataValidation type="list" allowBlank="1" showInputMessage="1" showErrorMessage="1" sqref="D44" xr:uid="{00000000-0002-0000-0E00-000002000000}">
      <formula1>$P$40:$P$43</formula1>
    </dataValidation>
    <dataValidation type="list" allowBlank="1" showInputMessage="1" showErrorMessage="1" sqref="D70" xr:uid="{00000000-0002-0000-0E00-000003000000}">
      <formula1>"C型钢"</formula1>
    </dataValidation>
    <dataValidation type="list" allowBlank="1" showInputMessage="1" showErrorMessage="1" sqref="D71" xr:uid="{00000000-0002-0000-0E00-000004000000}">
      <formula1>$K$68:$K$78</formula1>
    </dataValidation>
    <dataValidation type="list" allowBlank="1" showInputMessage="1" showErrorMessage="1" sqref="D79" xr:uid="{00000000-0002-0000-0E00-000005000000}">
      <formula1>$AE$67:$AE$70</formula1>
    </dataValidation>
  </dataValidations>
  <pageMargins left="0.7" right="0.7" top="0.38" bottom="0.28000000000000003" header="0.3" footer="0.3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1:AO37"/>
  <sheetViews>
    <sheetView topLeftCell="A9" zoomScale="130" zoomScaleNormal="130" workbookViewId="0">
      <selection activeCell="E19" sqref="E19:E27"/>
    </sheetView>
  </sheetViews>
  <sheetFormatPr defaultColWidth="15" defaultRowHeight="20.25" customHeight="1"/>
  <cols>
    <col min="1" max="1" width="15" style="1"/>
    <col min="2" max="12" width="12.375" style="1" customWidth="1"/>
    <col min="13" max="13" width="7.5" style="1" customWidth="1"/>
    <col min="14" max="14" width="13.25" style="1" customWidth="1"/>
    <col min="15" max="18" width="7.5" style="1" hidden="1" customWidth="1"/>
    <col min="19" max="19" width="10.375" style="1" hidden="1" customWidth="1"/>
    <col min="20" max="22" width="7.5" style="1" hidden="1" customWidth="1"/>
    <col min="23" max="23" width="11.75" style="1" hidden="1" customWidth="1"/>
    <col min="24" max="24" width="7.5" style="1" hidden="1" customWidth="1"/>
    <col min="25" max="26" width="12.25" style="1" hidden="1" customWidth="1"/>
    <col min="27" max="41" width="7.5" style="1" hidden="1" customWidth="1"/>
    <col min="42" max="16384" width="15" style="1"/>
  </cols>
  <sheetData>
    <row r="1" spans="2:35" ht="30" customHeight="1">
      <c r="B1" s="432" t="s">
        <v>790</v>
      </c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20"/>
      <c r="N1" s="120"/>
    </row>
    <row r="2" spans="2:35" s="100" customFormat="1" ht="30.75" customHeight="1">
      <c r="B2" s="149" t="s">
        <v>791</v>
      </c>
      <c r="C2" s="150" t="s">
        <v>792</v>
      </c>
      <c r="D2" s="150" t="s">
        <v>793</v>
      </c>
      <c r="E2" s="150" t="s">
        <v>794</v>
      </c>
      <c r="F2" s="150" t="s">
        <v>795</v>
      </c>
      <c r="G2" s="150" t="s">
        <v>796</v>
      </c>
      <c r="H2" s="150" t="s">
        <v>797</v>
      </c>
      <c r="I2" s="150" t="s">
        <v>798</v>
      </c>
      <c r="J2" s="156" t="s">
        <v>799</v>
      </c>
      <c r="K2" s="150" t="s">
        <v>800</v>
      </c>
      <c r="L2" s="149" t="s">
        <v>801</v>
      </c>
    </row>
    <row r="3" spans="2:35" s="100" customFormat="1" ht="20.25" customHeight="1">
      <c r="B3" s="151">
        <v>13.355</v>
      </c>
      <c r="C3" s="151">
        <v>70000</v>
      </c>
      <c r="D3" s="152">
        <f>(B3/2)^2*PI()</f>
        <v>140.08049446586901</v>
      </c>
      <c r="E3" s="153">
        <v>1720</v>
      </c>
      <c r="F3" s="153">
        <v>14850</v>
      </c>
      <c r="G3" s="153">
        <v>181400</v>
      </c>
      <c r="H3" s="153">
        <v>21.3</v>
      </c>
      <c r="I3" s="117">
        <f>C3/D3/G3</f>
        <v>2.7547557053999101E-3</v>
      </c>
      <c r="J3" s="153">
        <v>11.5</v>
      </c>
      <c r="K3" s="117">
        <f>I3/(J3*10^(-6))</f>
        <v>239.54397438260099</v>
      </c>
      <c r="L3" s="117">
        <f>(E3+F3)*10/1000*H3^2/8/C3*1000</f>
        <v>134.24363035714299</v>
      </c>
    </row>
    <row r="4" spans="2:35" s="100" customFormat="1" ht="20.25" customHeight="1">
      <c r="B4" s="151">
        <v>13.355</v>
      </c>
      <c r="C4" s="151">
        <v>70000</v>
      </c>
      <c r="D4" s="152">
        <f>(B4/2)^2*PI()</f>
        <v>140.08049446586901</v>
      </c>
      <c r="E4" s="153">
        <v>1720</v>
      </c>
      <c r="F4" s="153">
        <v>14850</v>
      </c>
      <c r="G4" s="153">
        <v>181400</v>
      </c>
      <c r="H4" s="153">
        <v>31.7</v>
      </c>
      <c r="I4" s="117">
        <f>C4/D4/G4</f>
        <v>2.7547557053999101E-3</v>
      </c>
      <c r="J4" s="153">
        <v>11.5</v>
      </c>
      <c r="K4" s="117">
        <f>I4/(J4*10^(-6))</f>
        <v>239.54397438260099</v>
      </c>
      <c r="L4" s="117">
        <f t="shared" ref="L4:L7" si="0">(E4+F4)*10/1000*H4^2/8/C4*1000</f>
        <v>297.33977321428603</v>
      </c>
    </row>
    <row r="5" spans="2:35" s="100" customFormat="1" ht="20.25" customHeight="1">
      <c r="B5" s="151">
        <v>6</v>
      </c>
      <c r="C5" s="151">
        <v>15000</v>
      </c>
      <c r="D5" s="152">
        <f>(B5/2)^2*PI()</f>
        <v>28.274333882308099</v>
      </c>
      <c r="E5" s="153">
        <v>222</v>
      </c>
      <c r="F5" s="153"/>
      <c r="G5" s="153">
        <v>181400</v>
      </c>
      <c r="H5" s="153">
        <v>21.39</v>
      </c>
      <c r="I5" s="117">
        <f>C5/D5/G5</f>
        <v>2.9245671277452301E-3</v>
      </c>
      <c r="J5" s="153">
        <v>11.5</v>
      </c>
      <c r="K5" s="117">
        <f>I5/(J5*10^(-6))</f>
        <v>254.310185021324</v>
      </c>
      <c r="L5" s="117">
        <f t="shared" si="0"/>
        <v>8.4643438500000006</v>
      </c>
    </row>
    <row r="6" spans="2:35" s="100" customFormat="1" ht="20.25" customHeight="1">
      <c r="B6" s="151"/>
      <c r="C6" s="151"/>
      <c r="D6" s="152">
        <f t="shared" ref="D6:D7" si="1">(B6/2)^2*PI()</f>
        <v>0</v>
      </c>
      <c r="E6" s="153"/>
      <c r="F6" s="153"/>
      <c r="G6" s="153"/>
      <c r="H6" s="153"/>
      <c r="I6" s="117" t="e">
        <f t="shared" ref="I6:I7" si="2">C6/D6/G6</f>
        <v>#DIV/0!</v>
      </c>
      <c r="J6" s="153"/>
      <c r="K6" s="117" t="e">
        <f t="shared" ref="K6:K7" si="3">I6/(J6*10^(-6))</f>
        <v>#DIV/0!</v>
      </c>
      <c r="L6" s="117" t="e">
        <f t="shared" si="0"/>
        <v>#DIV/0!</v>
      </c>
    </row>
    <row r="7" spans="2:35" s="100" customFormat="1" ht="20.25" customHeight="1">
      <c r="B7" s="151"/>
      <c r="C7" s="151"/>
      <c r="D7" s="152">
        <f t="shared" si="1"/>
        <v>0</v>
      </c>
      <c r="E7" s="153"/>
      <c r="F7" s="153"/>
      <c r="G7" s="153"/>
      <c r="H7" s="153"/>
      <c r="I7" s="117" t="e">
        <f t="shared" si="2"/>
        <v>#DIV/0!</v>
      </c>
      <c r="J7" s="153"/>
      <c r="K7" s="117" t="e">
        <f t="shared" si="3"/>
        <v>#DIV/0!</v>
      </c>
      <c r="L7" s="117" t="e">
        <f t="shared" si="0"/>
        <v>#DIV/0!</v>
      </c>
    </row>
    <row r="8" spans="2:35" s="100" customFormat="1" ht="20.25" customHeight="1"/>
    <row r="9" spans="2:35" s="100" customFormat="1" ht="20.25" customHeight="1"/>
    <row r="10" spans="2:35" s="100" customFormat="1" ht="27" customHeight="1">
      <c r="B10" s="433" t="s">
        <v>802</v>
      </c>
      <c r="C10" s="433"/>
      <c r="D10" s="433"/>
      <c r="E10" s="433"/>
      <c r="F10" s="433"/>
      <c r="G10" s="433"/>
      <c r="H10" s="433"/>
      <c r="I10" s="433"/>
      <c r="J10" s="433"/>
      <c r="K10" s="157"/>
      <c r="L10" s="157"/>
      <c r="M10" s="158"/>
      <c r="N10" s="158"/>
    </row>
    <row r="11" spans="2:35" s="100" customFormat="1" ht="29.25" customHeight="1">
      <c r="B11" s="154" t="s">
        <v>803</v>
      </c>
      <c r="C11" s="154" t="s">
        <v>791</v>
      </c>
      <c r="D11" s="155" t="s">
        <v>804</v>
      </c>
      <c r="E11" s="155" t="s">
        <v>793</v>
      </c>
      <c r="F11" s="155" t="s">
        <v>794</v>
      </c>
      <c r="G11" s="155" t="s">
        <v>795</v>
      </c>
      <c r="H11" s="155" t="s">
        <v>796</v>
      </c>
      <c r="I11" s="156" t="s">
        <v>805</v>
      </c>
      <c r="J11" s="156" t="s">
        <v>806</v>
      </c>
      <c r="O11" s="100" t="s">
        <v>798</v>
      </c>
      <c r="P11" s="100" t="s">
        <v>807</v>
      </c>
      <c r="Q11" s="100" t="s">
        <v>113</v>
      </c>
    </row>
    <row r="12" spans="2:35" s="100" customFormat="1" ht="20.25" customHeight="1">
      <c r="B12" s="153">
        <v>1</v>
      </c>
      <c r="C12" s="153">
        <v>13.35</v>
      </c>
      <c r="D12" s="153">
        <v>72000</v>
      </c>
      <c r="E12" s="152">
        <f>(C12/2)^2*PI()</f>
        <v>139.975624176102</v>
      </c>
      <c r="F12" s="153">
        <v>1099</v>
      </c>
      <c r="G12" s="152">
        <f>ROUND((1000/D14)*F14/2,0)</f>
        <v>14991</v>
      </c>
      <c r="H12" s="153">
        <v>181400</v>
      </c>
      <c r="I12" s="153">
        <v>11.5</v>
      </c>
      <c r="J12" s="153">
        <v>15</v>
      </c>
      <c r="O12" s="117">
        <f>D12/E12/H12</f>
        <v>2.8355858529331302E-3</v>
      </c>
      <c r="P12" s="100">
        <f>O12/(I12*10^(-6))</f>
        <v>246.57268286375</v>
      </c>
      <c r="Q12" s="100">
        <f>E14*D14</f>
        <v>2.7011880000000001</v>
      </c>
    </row>
    <row r="13" spans="2:35" s="100" customFormat="1" ht="20.25" customHeight="1">
      <c r="B13" s="154" t="s">
        <v>808</v>
      </c>
      <c r="C13" s="154" t="s">
        <v>809</v>
      </c>
      <c r="D13" s="154" t="s">
        <v>810</v>
      </c>
      <c r="E13" s="154" t="s">
        <v>811</v>
      </c>
      <c r="F13" s="154" t="s">
        <v>812</v>
      </c>
      <c r="G13" s="154" t="s">
        <v>813</v>
      </c>
      <c r="H13" s="154" t="s">
        <v>814</v>
      </c>
      <c r="I13" s="154" t="s">
        <v>815</v>
      </c>
      <c r="AD13" s="100" t="s">
        <v>816</v>
      </c>
      <c r="AI13" s="100" t="s">
        <v>33</v>
      </c>
    </row>
    <row r="14" spans="2:35" s="100" customFormat="1" ht="20.25" customHeight="1">
      <c r="B14" s="153">
        <v>1</v>
      </c>
      <c r="C14" s="153">
        <v>18</v>
      </c>
      <c r="D14" s="153">
        <v>1.1339999999999999</v>
      </c>
      <c r="E14" s="153">
        <v>2.3820000000000001</v>
      </c>
      <c r="F14" s="153">
        <v>34</v>
      </c>
      <c r="G14" s="153">
        <v>20</v>
      </c>
      <c r="H14" s="153">
        <v>1</v>
      </c>
      <c r="I14" s="153">
        <v>1</v>
      </c>
    </row>
    <row r="15" spans="2:35" s="100" customFormat="1" ht="20.25" customHeight="1">
      <c r="B15" s="154" t="s">
        <v>817</v>
      </c>
      <c r="C15" s="154" t="s">
        <v>818</v>
      </c>
      <c r="D15" s="154" t="s">
        <v>819</v>
      </c>
      <c r="E15" s="154"/>
      <c r="F15" s="154"/>
      <c r="G15" s="154"/>
      <c r="H15" s="154"/>
      <c r="I15" s="154"/>
    </row>
    <row r="16" spans="2:35" s="100" customFormat="1" ht="20.25" customHeight="1">
      <c r="B16" s="153">
        <v>1</v>
      </c>
      <c r="C16" s="153">
        <v>1</v>
      </c>
      <c r="D16" s="153">
        <v>1</v>
      </c>
    </row>
    <row r="17" spans="2:41" s="100" customFormat="1" ht="20.25" customHeight="1"/>
    <row r="18" spans="2:41" s="100" customFormat="1" ht="20.25" customHeight="1">
      <c r="B18" s="154" t="s">
        <v>820</v>
      </c>
      <c r="C18" s="154" t="s">
        <v>821</v>
      </c>
      <c r="D18" s="154" t="s">
        <v>822</v>
      </c>
      <c r="E18" s="154" t="s">
        <v>823</v>
      </c>
      <c r="F18" s="154" t="s">
        <v>797</v>
      </c>
      <c r="G18" s="154" t="s">
        <v>824</v>
      </c>
      <c r="H18" s="154" t="s">
        <v>801</v>
      </c>
      <c r="I18" s="154" t="s">
        <v>825</v>
      </c>
      <c r="O18" s="100" t="s">
        <v>826</v>
      </c>
      <c r="P18" s="100" t="s">
        <v>807</v>
      </c>
      <c r="Q18" s="100" t="s">
        <v>798</v>
      </c>
      <c r="R18" s="100" t="s">
        <v>827</v>
      </c>
      <c r="S18" s="100" t="s">
        <v>828</v>
      </c>
      <c r="T18" s="100" t="s">
        <v>829</v>
      </c>
      <c r="U18" s="100" t="s">
        <v>830</v>
      </c>
      <c r="V18" s="100" t="s">
        <v>831</v>
      </c>
      <c r="W18" s="100" t="s">
        <v>832</v>
      </c>
      <c r="X18" s="100" t="s">
        <v>833</v>
      </c>
      <c r="Y18" s="100" t="s">
        <v>834</v>
      </c>
      <c r="Z18" s="100" t="s">
        <v>835</v>
      </c>
      <c r="AA18" s="100" t="s">
        <v>836</v>
      </c>
      <c r="AB18" s="100" t="s">
        <v>837</v>
      </c>
      <c r="AC18" s="100" t="s">
        <v>838</v>
      </c>
      <c r="AD18" s="100" t="s">
        <v>839</v>
      </c>
      <c r="AE18" s="100" t="s">
        <v>840</v>
      </c>
      <c r="AF18" s="100" t="s">
        <v>841</v>
      </c>
      <c r="AG18" s="100" t="s">
        <v>842</v>
      </c>
      <c r="AH18" s="100" t="s">
        <v>843</v>
      </c>
      <c r="AI18" s="159" t="s">
        <v>123</v>
      </c>
      <c r="AJ18" s="100" t="s">
        <v>122</v>
      </c>
      <c r="AK18" s="100" t="s">
        <v>91</v>
      </c>
      <c r="AL18" s="100" t="s">
        <v>844</v>
      </c>
      <c r="AM18" s="100" t="s">
        <v>845</v>
      </c>
      <c r="AN18" s="100" t="s">
        <v>846</v>
      </c>
      <c r="AO18" s="100" t="s">
        <v>816</v>
      </c>
    </row>
    <row r="19" spans="2:41" s="100" customFormat="1" ht="20.25" customHeight="1">
      <c r="B19" s="153"/>
      <c r="C19" s="153"/>
      <c r="D19" s="151"/>
      <c r="E19" s="151">
        <v>28</v>
      </c>
      <c r="F19" s="153">
        <v>21.4</v>
      </c>
      <c r="G19" s="152">
        <f>IF(F19="","",AO19*$E$12)</f>
        <v>68205.250120593802</v>
      </c>
      <c r="H19" s="152">
        <f>IF(F19="","",AG19*(F19*1000)^2/8/AO19/1000)</f>
        <v>9.2239607491747204</v>
      </c>
      <c r="O19" s="100">
        <f>(E19-$J$12)*$C$16*$B$12</f>
        <v>13</v>
      </c>
      <c r="S19" s="100">
        <f>($C$14*$Q$12*D19*$H$14*$I$14/2)*$B$12</f>
        <v>0</v>
      </c>
      <c r="T19" s="100">
        <f>$D$12/$E$12</f>
        <v>514.37527372207001</v>
      </c>
      <c r="U19" s="100">
        <f>$D$16*$D$14*$E$14*0.5*B19*1000*$B$14*$B$12/$D$14</f>
        <v>0</v>
      </c>
      <c r="V19" s="100">
        <f>S19*1000/F19</f>
        <v>0</v>
      </c>
      <c r="W19" s="100">
        <f>V19*COS(RADIANS($G$14))</f>
        <v>0</v>
      </c>
      <c r="X19" s="100">
        <f>V19*SIN(RADIANS($G$14))</f>
        <v>0</v>
      </c>
      <c r="Y19" s="100">
        <f>$D$14*$E$14*C19*1000*$B$16/$D$14/2</f>
        <v>0</v>
      </c>
      <c r="Z19" s="100">
        <f>$F$12*10/1000</f>
        <v>10.99</v>
      </c>
      <c r="AA19" s="100">
        <f>Y19+W19+U19+Z19</f>
        <v>10.99</v>
      </c>
      <c r="AB19" s="100">
        <f>Y19/$E$12</f>
        <v>0</v>
      </c>
      <c r="AC19" s="100">
        <f>Z19/$E$12</f>
        <v>7.8513670252854897E-2</v>
      </c>
      <c r="AD19" s="100">
        <f>W19/$E$12</f>
        <v>0</v>
      </c>
      <c r="AE19" s="100">
        <f>X19/$E$12</f>
        <v>0</v>
      </c>
      <c r="AF19" s="100">
        <f>U19/$E$12</f>
        <v>0</v>
      </c>
      <c r="AG19" s="100">
        <f>AD19+AC19+AF19+AB19</f>
        <v>7.8513670252854897E-2</v>
      </c>
      <c r="AH19" s="100">
        <f>SQRT((AD19+AC19+AF19+AB19)^2+AE19^2)</f>
        <v>7.8513670252854897E-2</v>
      </c>
      <c r="AI19" s="159">
        <f t="shared" ref="AI19:AI27" si="4">AH19^2*(F19)^2*$H$12/24</f>
        <v>21337.530112678</v>
      </c>
      <c r="AJ19" s="100">
        <f t="shared" ref="AJ19:AJ27" si="5">(F19)^2*AC19^2*$H$12/24/(T19^2)-T19+H$12*O19*$I$12*10^(-6)</f>
        <v>-487.17532750885198</v>
      </c>
      <c r="AK19" s="100">
        <f>ABS(AJ19)</f>
        <v>487.17532750885198</v>
      </c>
      <c r="AL19" s="100">
        <f>IF(AJ19&lt;0,-1,1)</f>
        <v>-1</v>
      </c>
      <c r="AM19" s="100">
        <f t="shared" ref="AM19:AM27" si="6">13.5*AI19/AK19^3-AL19</f>
        <v>1.00249127722728</v>
      </c>
      <c r="AN19" s="100">
        <f>IF(AM19&gt;1,ACOSH(AM19),ACOS(AM19))</f>
        <v>7.0572565541640098E-2</v>
      </c>
      <c r="AO19" s="100">
        <f>IF(AM19&gt;1,AK19*(2*COSH(AN19/3)-AL19)/3,IF(AM19=0,AI19^(0.333),AK19*(2*COS(AN19/3)-AL19)/3))</f>
        <v>487.265197223092</v>
      </c>
    </row>
    <row r="20" spans="2:41" s="100" customFormat="1" ht="20.25" customHeight="1">
      <c r="B20" s="153"/>
      <c r="C20" s="153"/>
      <c r="D20" s="151"/>
      <c r="E20" s="151">
        <v>29</v>
      </c>
      <c r="F20" s="153">
        <v>21.4</v>
      </c>
      <c r="G20" s="152">
        <f t="shared" ref="G20:G27" si="7">IF(F20="","",AO20*$E$12)</f>
        <v>67913.355338541398</v>
      </c>
      <c r="H20" s="152">
        <f t="shared" ref="H20:H24" si="8">IF(F20="","",AG20*(F20*1000)^2/8/AO20/1000)</f>
        <v>9.2636057644904497</v>
      </c>
      <c r="O20" s="100">
        <f t="shared" ref="O20:O27" si="9">(E20-$J$12)*$C$16*$B$12</f>
        <v>14</v>
      </c>
      <c r="S20" s="100">
        <f t="shared" ref="S20:S27" si="10">($C$14*$Q$12*D20*$H$14*$I$14/2)*$B$12</f>
        <v>0</v>
      </c>
      <c r="T20" s="100">
        <f>$D$12/$E$12</f>
        <v>514.37527372207001</v>
      </c>
      <c r="U20" s="100">
        <f t="shared" ref="U20:U27" si="11">$D$16*$D$14*$E$14*0.5*B20*1000*$B$14*$B$12/$D$14</f>
        <v>0</v>
      </c>
      <c r="V20" s="100">
        <f t="shared" ref="V20:V27" si="12">S20*1000/F20</f>
        <v>0</v>
      </c>
      <c r="W20" s="100">
        <f t="shared" ref="W20:W27" si="13">V20*COS(RADIANS($G$14))</f>
        <v>0</v>
      </c>
      <c r="X20" s="100">
        <f t="shared" ref="X20:X27" si="14">V20*SIN(RADIANS($G$14))</f>
        <v>0</v>
      </c>
      <c r="Y20" s="100">
        <f t="shared" ref="Y20:Y27" si="15">$D$14*$E$14*C20*1000*$B$16/$D$14/2</f>
        <v>0</v>
      </c>
      <c r="Z20" s="100">
        <f t="shared" ref="Z20:Z27" si="16">$F$12*10/1000</f>
        <v>10.99</v>
      </c>
      <c r="AA20" s="100">
        <f t="shared" ref="AA20:AA27" si="17">Y20+W20+U20+Z20</f>
        <v>10.99</v>
      </c>
      <c r="AB20" s="100">
        <f t="shared" ref="AB20:AC27" si="18">Y20/$E$12</f>
        <v>0</v>
      </c>
      <c r="AC20" s="100">
        <f t="shared" si="18"/>
        <v>7.8513670252854897E-2</v>
      </c>
      <c r="AD20" s="100">
        <f t="shared" ref="AD20:AE27" si="19">W20/$E$12</f>
        <v>0</v>
      </c>
      <c r="AE20" s="100">
        <f t="shared" si="19"/>
        <v>0</v>
      </c>
      <c r="AF20" s="100">
        <f t="shared" ref="AF20:AF27" si="20">U20/$E$12</f>
        <v>0</v>
      </c>
      <c r="AG20" s="100">
        <f t="shared" ref="AG20:AG27" si="21">AD20+AC20+AF20+AB20</f>
        <v>7.8513670252854897E-2</v>
      </c>
      <c r="AH20" s="100">
        <f t="shared" ref="AH20:AH27" si="22">SQRT((AD20+AC20+AF20+AB20)^2+AE20^2)</f>
        <v>7.8513670252854897E-2</v>
      </c>
      <c r="AI20" s="159">
        <f t="shared" si="4"/>
        <v>21337.530112678</v>
      </c>
      <c r="AJ20" s="100">
        <f t="shared" si="5"/>
        <v>-485.08922750885199</v>
      </c>
      <c r="AK20" s="100">
        <f t="shared" ref="AK20:AK27" si="23">ABS(AJ20)</f>
        <v>485.08922750885199</v>
      </c>
      <c r="AL20" s="100">
        <f t="shared" ref="AL20:AL27" si="24">IF(AJ20&lt;0,-1,1)</f>
        <v>-1</v>
      </c>
      <c r="AM20" s="100">
        <f t="shared" si="6"/>
        <v>1.00252355645436</v>
      </c>
      <c r="AN20" s="100">
        <f t="shared" ref="AN20:AN27" si="25">IF(AM20&gt;1,ACOSH(AM20),ACOS(AM20))</f>
        <v>7.1028103994288702E-2</v>
      </c>
      <c r="AO20" s="100">
        <f>IF(AM20&gt;1,AK20*(2*COSH(AN20/3)-AL20)/3,IF(AM20=0,AI20^(0.333),AK20*(2*COS(AN20/3)-AL20)/3))</f>
        <v>485.17987141175598</v>
      </c>
    </row>
    <row r="21" spans="2:41" s="100" customFormat="1" ht="20.25" customHeight="1">
      <c r="B21" s="151"/>
      <c r="C21" s="153"/>
      <c r="D21" s="151"/>
      <c r="E21" s="151">
        <v>30</v>
      </c>
      <c r="F21" s="153">
        <v>21.4</v>
      </c>
      <c r="G21" s="152">
        <f t="shared" si="7"/>
        <v>67621.461962321599</v>
      </c>
      <c r="H21" s="152">
        <f t="shared" si="8"/>
        <v>9.3035928497160505</v>
      </c>
      <c r="O21" s="100">
        <f t="shared" si="9"/>
        <v>15</v>
      </c>
      <c r="S21" s="100">
        <f t="shared" si="10"/>
        <v>0</v>
      </c>
      <c r="T21" s="100">
        <f t="shared" ref="T21:T27" si="26">$D$12/$E$12</f>
        <v>514.37527372207001</v>
      </c>
      <c r="U21" s="100">
        <f t="shared" si="11"/>
        <v>0</v>
      </c>
      <c r="V21" s="100">
        <f t="shared" si="12"/>
        <v>0</v>
      </c>
      <c r="W21" s="100">
        <f t="shared" si="13"/>
        <v>0</v>
      </c>
      <c r="X21" s="100">
        <f t="shared" si="14"/>
        <v>0</v>
      </c>
      <c r="Y21" s="100">
        <f t="shared" si="15"/>
        <v>0</v>
      </c>
      <c r="Z21" s="100">
        <f t="shared" si="16"/>
        <v>10.99</v>
      </c>
      <c r="AA21" s="100">
        <f t="shared" si="17"/>
        <v>10.99</v>
      </c>
      <c r="AB21" s="100">
        <f t="shared" si="18"/>
        <v>0</v>
      </c>
      <c r="AC21" s="100">
        <f t="shared" si="18"/>
        <v>7.8513670252854897E-2</v>
      </c>
      <c r="AD21" s="100">
        <f t="shared" si="19"/>
        <v>0</v>
      </c>
      <c r="AE21" s="100">
        <f t="shared" si="19"/>
        <v>0</v>
      </c>
      <c r="AF21" s="100">
        <f t="shared" si="20"/>
        <v>0</v>
      </c>
      <c r="AG21" s="100">
        <f t="shared" si="21"/>
        <v>7.8513670252854897E-2</v>
      </c>
      <c r="AH21" s="100">
        <f t="shared" si="22"/>
        <v>7.8513670252854897E-2</v>
      </c>
      <c r="AI21" s="159">
        <f t="shared" si="4"/>
        <v>21337.530112678</v>
      </c>
      <c r="AJ21" s="100">
        <f t="shared" si="5"/>
        <v>-483.003127508852</v>
      </c>
      <c r="AK21" s="100">
        <f t="shared" si="23"/>
        <v>483.003127508852</v>
      </c>
      <c r="AL21" s="100">
        <f t="shared" si="24"/>
        <v>-1</v>
      </c>
      <c r="AM21" s="100">
        <f t="shared" si="6"/>
        <v>1.00255639575018</v>
      </c>
      <c r="AN21" s="100">
        <f t="shared" si="25"/>
        <v>7.1488562705844694E-2</v>
      </c>
      <c r="AO21" s="100">
        <f t="shared" ref="AO21:AO27" si="27">IF(AM21&gt;1,AK21*(2*COSH(AN21/3)-AL21)/3,IF(AM21=0,AI21^(0.333),AK21*(2*COS(AN21/3)-AL21)/3))</f>
        <v>483.09455564382898</v>
      </c>
    </row>
    <row r="22" spans="2:41" s="100" customFormat="1" ht="20.25" customHeight="1">
      <c r="B22" s="153"/>
      <c r="C22" s="153"/>
      <c r="D22" s="151"/>
      <c r="E22" s="151">
        <v>31</v>
      </c>
      <c r="F22" s="153">
        <v>21.4</v>
      </c>
      <c r="G22" s="152">
        <f t="shared" si="7"/>
        <v>67329.570016344805</v>
      </c>
      <c r="H22" s="152">
        <f t="shared" si="8"/>
        <v>9.3439264478783404</v>
      </c>
      <c r="O22" s="100">
        <f t="shared" si="9"/>
        <v>16</v>
      </c>
      <c r="S22" s="100">
        <f t="shared" si="10"/>
        <v>0</v>
      </c>
      <c r="T22" s="100">
        <f t="shared" si="26"/>
        <v>514.37527372207001</v>
      </c>
      <c r="U22" s="100">
        <f t="shared" si="11"/>
        <v>0</v>
      </c>
      <c r="V22" s="100">
        <f t="shared" si="12"/>
        <v>0</v>
      </c>
      <c r="W22" s="100">
        <f t="shared" si="13"/>
        <v>0</v>
      </c>
      <c r="X22" s="100">
        <f t="shared" si="14"/>
        <v>0</v>
      </c>
      <c r="Y22" s="100">
        <f t="shared" si="15"/>
        <v>0</v>
      </c>
      <c r="Z22" s="100">
        <f t="shared" si="16"/>
        <v>10.99</v>
      </c>
      <c r="AA22" s="100">
        <f t="shared" si="17"/>
        <v>10.99</v>
      </c>
      <c r="AB22" s="100">
        <f t="shared" si="18"/>
        <v>0</v>
      </c>
      <c r="AC22" s="100">
        <f t="shared" si="18"/>
        <v>7.8513670252854897E-2</v>
      </c>
      <c r="AD22" s="100">
        <f t="shared" si="19"/>
        <v>0</v>
      </c>
      <c r="AE22" s="100">
        <f t="shared" si="19"/>
        <v>0</v>
      </c>
      <c r="AF22" s="100">
        <f t="shared" si="20"/>
        <v>0</v>
      </c>
      <c r="AG22" s="100">
        <f t="shared" si="21"/>
        <v>7.8513670252854897E-2</v>
      </c>
      <c r="AH22" s="100">
        <f t="shared" si="22"/>
        <v>7.8513670252854897E-2</v>
      </c>
      <c r="AI22" s="159">
        <f t="shared" si="4"/>
        <v>21337.530112678</v>
      </c>
      <c r="AJ22" s="100">
        <f t="shared" si="5"/>
        <v>-480.91702750885202</v>
      </c>
      <c r="AK22" s="100">
        <f t="shared" si="23"/>
        <v>480.91702750885202</v>
      </c>
      <c r="AL22" s="100">
        <f t="shared" si="24"/>
        <v>-1</v>
      </c>
      <c r="AM22" s="100">
        <f t="shared" si="6"/>
        <v>1.00258980731464</v>
      </c>
      <c r="AN22" s="100">
        <f t="shared" si="25"/>
        <v>7.1954016367114806E-2</v>
      </c>
      <c r="AO22" s="100">
        <f t="shared" si="27"/>
        <v>481.00925009370297</v>
      </c>
    </row>
    <row r="23" spans="2:41" s="100" customFormat="1" ht="21" customHeight="1">
      <c r="B23" s="153"/>
      <c r="C23" s="153"/>
      <c r="D23" s="151"/>
      <c r="E23" s="151">
        <v>32</v>
      </c>
      <c r="F23" s="153">
        <v>21.4</v>
      </c>
      <c r="G23" s="152">
        <f t="shared" si="7"/>
        <v>67037.679525553802</v>
      </c>
      <c r="H23" s="152">
        <f t="shared" si="8"/>
        <v>9.3846110792093906</v>
      </c>
      <c r="O23" s="100">
        <f t="shared" si="9"/>
        <v>17</v>
      </c>
      <c r="S23" s="100">
        <f t="shared" si="10"/>
        <v>0</v>
      </c>
      <c r="T23" s="100">
        <f t="shared" si="26"/>
        <v>514.37527372207001</v>
      </c>
      <c r="U23" s="100">
        <f t="shared" si="11"/>
        <v>0</v>
      </c>
      <c r="V23" s="100">
        <f t="shared" si="12"/>
        <v>0</v>
      </c>
      <c r="W23" s="100">
        <f t="shared" si="13"/>
        <v>0</v>
      </c>
      <c r="X23" s="100">
        <f t="shared" si="14"/>
        <v>0</v>
      </c>
      <c r="Y23" s="100">
        <f t="shared" si="15"/>
        <v>0</v>
      </c>
      <c r="Z23" s="100">
        <f t="shared" si="16"/>
        <v>10.99</v>
      </c>
      <c r="AA23" s="100">
        <f t="shared" si="17"/>
        <v>10.99</v>
      </c>
      <c r="AB23" s="100">
        <f t="shared" si="18"/>
        <v>0</v>
      </c>
      <c r="AC23" s="100">
        <f t="shared" si="18"/>
        <v>7.8513670252854897E-2</v>
      </c>
      <c r="AD23" s="100">
        <f t="shared" si="19"/>
        <v>0</v>
      </c>
      <c r="AE23" s="100">
        <f t="shared" si="19"/>
        <v>0</v>
      </c>
      <c r="AF23" s="100">
        <f t="shared" si="20"/>
        <v>0</v>
      </c>
      <c r="AG23" s="100">
        <f t="shared" si="21"/>
        <v>7.8513670252854897E-2</v>
      </c>
      <c r="AH23" s="100">
        <f t="shared" si="22"/>
        <v>7.8513670252854897E-2</v>
      </c>
      <c r="AI23" s="159">
        <f t="shared" si="4"/>
        <v>21337.530112678</v>
      </c>
      <c r="AJ23" s="100">
        <f t="shared" si="5"/>
        <v>-478.83092750885203</v>
      </c>
      <c r="AK23" s="100">
        <f t="shared" si="23"/>
        <v>478.83092750885203</v>
      </c>
      <c r="AL23" s="100">
        <f t="shared" si="24"/>
        <v>-1</v>
      </c>
      <c r="AM23" s="100">
        <f t="shared" si="6"/>
        <v>1.00262380366792</v>
      </c>
      <c r="AN23" s="100">
        <f t="shared" si="25"/>
        <v>7.2424541132238604E-2</v>
      </c>
      <c r="AO23" s="100">
        <f t="shared" si="27"/>
        <v>478.92395493957099</v>
      </c>
    </row>
    <row r="24" spans="2:41" s="100" customFormat="1" ht="20.25" customHeight="1">
      <c r="B24" s="153"/>
      <c r="C24" s="153"/>
      <c r="D24" s="151"/>
      <c r="E24" s="151">
        <v>33</v>
      </c>
      <c r="F24" s="153">
        <v>21.4</v>
      </c>
      <c r="G24" s="152">
        <f t="shared" si="7"/>
        <v>66745.790515436805</v>
      </c>
      <c r="H24" s="152">
        <f t="shared" si="8"/>
        <v>9.4256513428288695</v>
      </c>
      <c r="O24" s="100">
        <f t="shared" si="9"/>
        <v>18</v>
      </c>
      <c r="S24" s="100">
        <f t="shared" si="10"/>
        <v>0</v>
      </c>
      <c r="T24" s="100">
        <f t="shared" si="26"/>
        <v>514.37527372207001</v>
      </c>
      <c r="U24" s="100">
        <f t="shared" si="11"/>
        <v>0</v>
      </c>
      <c r="V24" s="100">
        <f t="shared" si="12"/>
        <v>0</v>
      </c>
      <c r="W24" s="100">
        <f t="shared" si="13"/>
        <v>0</v>
      </c>
      <c r="X24" s="100">
        <f t="shared" si="14"/>
        <v>0</v>
      </c>
      <c r="Y24" s="100">
        <f t="shared" si="15"/>
        <v>0</v>
      </c>
      <c r="Z24" s="100">
        <f t="shared" si="16"/>
        <v>10.99</v>
      </c>
      <c r="AA24" s="100">
        <f t="shared" si="17"/>
        <v>10.99</v>
      </c>
      <c r="AB24" s="100">
        <f t="shared" si="18"/>
        <v>0</v>
      </c>
      <c r="AC24" s="100">
        <f t="shared" si="18"/>
        <v>7.8513670252854897E-2</v>
      </c>
      <c r="AD24" s="100">
        <f t="shared" si="19"/>
        <v>0</v>
      </c>
      <c r="AE24" s="100">
        <f t="shared" si="19"/>
        <v>0</v>
      </c>
      <c r="AF24" s="100">
        <f t="shared" si="20"/>
        <v>0</v>
      </c>
      <c r="AG24" s="100">
        <f t="shared" si="21"/>
        <v>7.8513670252854897E-2</v>
      </c>
      <c r="AH24" s="100">
        <f t="shared" si="22"/>
        <v>7.8513670252854897E-2</v>
      </c>
      <c r="AI24" s="159">
        <f t="shared" si="4"/>
        <v>21337.530112678</v>
      </c>
      <c r="AJ24" s="100">
        <f t="shared" si="5"/>
        <v>-476.74482750885198</v>
      </c>
      <c r="AK24" s="100">
        <f t="shared" si="23"/>
        <v>476.74482750885198</v>
      </c>
      <c r="AL24" s="100">
        <f t="shared" si="24"/>
        <v>-1</v>
      </c>
      <c r="AM24" s="100">
        <f t="shared" si="6"/>
        <v>1.00265839766037</v>
      </c>
      <c r="AN24" s="100">
        <f t="shared" si="25"/>
        <v>7.2900214653845899E-2</v>
      </c>
      <c r="AO24" s="100">
        <f t="shared" si="27"/>
        <v>476.83867036352399</v>
      </c>
    </row>
    <row r="25" spans="2:41" s="100" customFormat="1" ht="20.25" customHeight="1">
      <c r="B25" s="153"/>
      <c r="C25" s="153"/>
      <c r="D25" s="151"/>
      <c r="E25" s="151">
        <v>34</v>
      </c>
      <c r="F25" s="153">
        <v>21.4</v>
      </c>
      <c r="G25" s="152">
        <f t="shared" si="7"/>
        <v>66453.903012042298</v>
      </c>
      <c r="H25" s="152">
        <f t="shared" ref="H25:H27" si="28">IF(F25="","",AH25*(F25*1000)^2/8/AO25/1000)</f>
        <v>9.4670519184703998</v>
      </c>
      <c r="O25" s="100">
        <f t="shared" si="9"/>
        <v>19</v>
      </c>
      <c r="S25" s="100">
        <f t="shared" si="10"/>
        <v>0</v>
      </c>
      <c r="T25" s="100">
        <f t="shared" si="26"/>
        <v>514.37527372207001</v>
      </c>
      <c r="U25" s="100">
        <f t="shared" si="11"/>
        <v>0</v>
      </c>
      <c r="V25" s="100">
        <f t="shared" si="12"/>
        <v>0</v>
      </c>
      <c r="W25" s="100">
        <f t="shared" si="13"/>
        <v>0</v>
      </c>
      <c r="X25" s="100">
        <f t="shared" si="14"/>
        <v>0</v>
      </c>
      <c r="Y25" s="100">
        <f t="shared" si="15"/>
        <v>0</v>
      </c>
      <c r="Z25" s="100">
        <f t="shared" si="16"/>
        <v>10.99</v>
      </c>
      <c r="AA25" s="100">
        <f t="shared" si="17"/>
        <v>10.99</v>
      </c>
      <c r="AB25" s="100">
        <f t="shared" si="18"/>
        <v>0</v>
      </c>
      <c r="AC25" s="100">
        <f t="shared" si="18"/>
        <v>7.8513670252854897E-2</v>
      </c>
      <c r="AD25" s="100">
        <f t="shared" si="19"/>
        <v>0</v>
      </c>
      <c r="AE25" s="100">
        <f t="shared" si="19"/>
        <v>0</v>
      </c>
      <c r="AF25" s="100">
        <f t="shared" si="20"/>
        <v>0</v>
      </c>
      <c r="AG25" s="100">
        <f t="shared" si="21"/>
        <v>7.8513670252854897E-2</v>
      </c>
      <c r="AH25" s="100">
        <f t="shared" si="22"/>
        <v>7.8513670252854897E-2</v>
      </c>
      <c r="AI25" s="159">
        <f t="shared" si="4"/>
        <v>21337.530112678</v>
      </c>
      <c r="AJ25" s="100">
        <f t="shared" si="5"/>
        <v>-474.658727508852</v>
      </c>
      <c r="AK25" s="100">
        <f t="shared" si="23"/>
        <v>474.658727508852</v>
      </c>
      <c r="AL25" s="100">
        <f t="shared" si="24"/>
        <v>-1</v>
      </c>
      <c r="AM25" s="100">
        <f t="shared" si="6"/>
        <v>1.00269360248266</v>
      </c>
      <c r="AN25" s="100">
        <f t="shared" si="25"/>
        <v>7.3381116119239406E-2</v>
      </c>
      <c r="AO25" s="100">
        <f t="shared" si="27"/>
        <v>474.75339655165402</v>
      </c>
    </row>
    <row r="26" spans="2:41" s="100" customFormat="1" ht="20.25" customHeight="1">
      <c r="B26" s="153"/>
      <c r="C26" s="153"/>
      <c r="D26" s="151"/>
      <c r="E26" s="151">
        <v>35</v>
      </c>
      <c r="F26" s="153">
        <v>21.4</v>
      </c>
      <c r="G26" s="152">
        <f t="shared" si="7"/>
        <v>66162.017041993706</v>
      </c>
      <c r="H26" s="152">
        <f t="shared" si="28"/>
        <v>9.5088175682535496</v>
      </c>
      <c r="O26" s="100">
        <f t="shared" si="9"/>
        <v>20</v>
      </c>
      <c r="S26" s="100">
        <f t="shared" si="10"/>
        <v>0</v>
      </c>
      <c r="T26" s="100">
        <f t="shared" si="26"/>
        <v>514.37527372207001</v>
      </c>
      <c r="U26" s="100">
        <f t="shared" si="11"/>
        <v>0</v>
      </c>
      <c r="V26" s="100">
        <f t="shared" si="12"/>
        <v>0</v>
      </c>
      <c r="W26" s="100">
        <f t="shared" si="13"/>
        <v>0</v>
      </c>
      <c r="X26" s="100">
        <f t="shared" si="14"/>
        <v>0</v>
      </c>
      <c r="Y26" s="100">
        <f t="shared" si="15"/>
        <v>0</v>
      </c>
      <c r="Z26" s="100">
        <f t="shared" si="16"/>
        <v>10.99</v>
      </c>
      <c r="AA26" s="100">
        <f t="shared" si="17"/>
        <v>10.99</v>
      </c>
      <c r="AB26" s="100">
        <f t="shared" si="18"/>
        <v>0</v>
      </c>
      <c r="AC26" s="100">
        <f t="shared" si="18"/>
        <v>7.8513670252854897E-2</v>
      </c>
      <c r="AD26" s="100">
        <f t="shared" si="19"/>
        <v>0</v>
      </c>
      <c r="AE26" s="100">
        <f t="shared" si="19"/>
        <v>0</v>
      </c>
      <c r="AF26" s="100">
        <f t="shared" si="20"/>
        <v>0</v>
      </c>
      <c r="AG26" s="100">
        <f t="shared" si="21"/>
        <v>7.8513670252854897E-2</v>
      </c>
      <c r="AH26" s="100">
        <f t="shared" si="22"/>
        <v>7.8513670252854897E-2</v>
      </c>
      <c r="AI26" s="159">
        <f t="shared" si="4"/>
        <v>21337.530112678</v>
      </c>
      <c r="AJ26" s="100">
        <f t="shared" si="5"/>
        <v>-472.57262750885201</v>
      </c>
      <c r="AK26" s="100">
        <f t="shared" si="23"/>
        <v>472.57262750885201</v>
      </c>
      <c r="AL26" s="100">
        <f t="shared" si="24"/>
        <v>-1</v>
      </c>
      <c r="AM26" s="100">
        <f t="shared" si="6"/>
        <v>1.0027294316763899</v>
      </c>
      <c r="AN26" s="100">
        <f t="shared" si="25"/>
        <v>7.3867326287605506E-2</v>
      </c>
      <c r="AO26" s="100">
        <f t="shared" si="27"/>
        <v>472.66813369416298</v>
      </c>
    </row>
    <row r="27" spans="2:41" s="100" customFormat="1" ht="20.25" customHeight="1">
      <c r="B27" s="153"/>
      <c r="C27" s="153"/>
      <c r="D27" s="151"/>
      <c r="E27" s="151">
        <v>36</v>
      </c>
      <c r="F27" s="153">
        <v>21.4</v>
      </c>
      <c r="G27" s="152">
        <f t="shared" si="7"/>
        <v>65870.132632505003</v>
      </c>
      <c r="H27" s="152">
        <f t="shared" si="28"/>
        <v>9.5509531385025195</v>
      </c>
      <c r="O27" s="100">
        <f t="shared" si="9"/>
        <v>21</v>
      </c>
      <c r="S27" s="100">
        <f t="shared" si="10"/>
        <v>0</v>
      </c>
      <c r="T27" s="100">
        <f t="shared" si="26"/>
        <v>514.37527372207001</v>
      </c>
      <c r="U27" s="100">
        <f t="shared" si="11"/>
        <v>0</v>
      </c>
      <c r="V27" s="100">
        <f t="shared" si="12"/>
        <v>0</v>
      </c>
      <c r="W27" s="100">
        <f t="shared" si="13"/>
        <v>0</v>
      </c>
      <c r="X27" s="100">
        <f t="shared" si="14"/>
        <v>0</v>
      </c>
      <c r="Y27" s="100">
        <f t="shared" si="15"/>
        <v>0</v>
      </c>
      <c r="Z27" s="100">
        <f t="shared" si="16"/>
        <v>10.99</v>
      </c>
      <c r="AA27" s="100">
        <f t="shared" si="17"/>
        <v>10.99</v>
      </c>
      <c r="AB27" s="100">
        <f t="shared" si="18"/>
        <v>0</v>
      </c>
      <c r="AC27" s="100">
        <f t="shared" si="18"/>
        <v>7.8513670252854897E-2</v>
      </c>
      <c r="AD27" s="100">
        <f t="shared" si="19"/>
        <v>0</v>
      </c>
      <c r="AE27" s="100">
        <f t="shared" si="19"/>
        <v>0</v>
      </c>
      <c r="AF27" s="100">
        <f t="shared" si="20"/>
        <v>0</v>
      </c>
      <c r="AG27" s="100">
        <f t="shared" si="21"/>
        <v>7.8513670252854897E-2</v>
      </c>
      <c r="AH27" s="100">
        <f t="shared" si="22"/>
        <v>7.8513670252854897E-2</v>
      </c>
      <c r="AI27" s="159">
        <f t="shared" si="4"/>
        <v>21337.530112678</v>
      </c>
      <c r="AJ27" s="100">
        <f t="shared" si="5"/>
        <v>-470.48652750885202</v>
      </c>
      <c r="AK27" s="100">
        <f t="shared" si="23"/>
        <v>470.48652750885202</v>
      </c>
      <c r="AL27" s="100">
        <f t="shared" si="24"/>
        <v>-1</v>
      </c>
      <c r="AM27" s="100">
        <f t="shared" si="6"/>
        <v>1.0027658991449999</v>
      </c>
      <c r="AN27" s="100">
        <f t="shared" si="25"/>
        <v>7.4358927528277496E-2</v>
      </c>
      <c r="AO27" s="100">
        <f t="shared" si="27"/>
        <v>470.58288198546899</v>
      </c>
    </row>
    <row r="28" spans="2:41" s="100" customFormat="1" ht="20.25" customHeight="1"/>
    <row r="29" spans="2:41" s="100" customFormat="1" ht="20.25" customHeight="1"/>
    <row r="30" spans="2:41" s="100" customFormat="1" ht="20.25" customHeight="1"/>
    <row r="31" spans="2:41" s="100" customFormat="1" ht="20.25" customHeight="1"/>
    <row r="32" spans="2:41" s="100" customFormat="1" ht="20.25" customHeight="1"/>
    <row r="33" s="100" customFormat="1" ht="20.25" customHeight="1"/>
    <row r="34" s="100" customFormat="1" ht="20.25" customHeight="1"/>
    <row r="35" s="100" customFormat="1" ht="20.25" customHeight="1"/>
    <row r="36" s="100" customFormat="1" ht="20.25" customHeight="1"/>
    <row r="37" s="100" customFormat="1" ht="20.25" customHeight="1"/>
  </sheetData>
  <sheetProtection algorithmName="SHA-512" hashValue="/6698J+727nIgnRciO8ZjH8YIJ7xpav/s1VHAoWVjOsKu3VweLSFPggkdvsKmyWbEjjPZ68E8A7HyKzEu3HC4w==" saltValue="c/5+0EJD2475J2CBbWDzzg==" spinCount="100000" sheet="1" objects="1" scenarios="1"/>
  <mergeCells count="2">
    <mergeCell ref="B1:L1"/>
    <mergeCell ref="B10:J10"/>
  </mergeCells>
  <phoneticPr fontId="80" type="noConversion"/>
  <pageMargins left="0.25" right="0.25" top="0.75" bottom="0.75" header="0.3" footer="0.3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I137"/>
  <sheetViews>
    <sheetView showGridLines="0" topLeftCell="A24" workbookViewId="0">
      <selection activeCell="B44" sqref="B44"/>
    </sheetView>
  </sheetViews>
  <sheetFormatPr defaultColWidth="9" defaultRowHeight="20.25" customHeight="1"/>
  <cols>
    <col min="1" max="1" width="9" style="130"/>
    <col min="2" max="2" width="32.625" style="131" customWidth="1"/>
    <col min="3" max="3" width="17.375" style="131" customWidth="1"/>
    <col min="4" max="4" width="10.875" style="131" customWidth="1"/>
    <col min="5" max="6" width="6.375" style="131" customWidth="1"/>
    <col min="7" max="16384" width="9" style="131"/>
  </cols>
  <sheetData>
    <row r="1" spans="1:9" ht="33.75" customHeight="1">
      <c r="A1" s="434" t="s">
        <v>847</v>
      </c>
      <c r="B1" s="434"/>
      <c r="C1" s="434"/>
      <c r="D1" s="434"/>
      <c r="E1" s="434"/>
      <c r="F1" s="434"/>
    </row>
    <row r="2" spans="1:9" ht="20.25" customHeight="1">
      <c r="A2" s="435" t="s">
        <v>848</v>
      </c>
      <c r="B2" s="435"/>
      <c r="C2" s="435"/>
      <c r="D2" s="435"/>
      <c r="E2" s="435"/>
      <c r="F2" s="435"/>
    </row>
    <row r="3" spans="1:9" ht="9.75" customHeight="1">
      <c r="A3" s="132"/>
      <c r="B3" s="132"/>
      <c r="C3" s="132"/>
      <c r="D3" s="132"/>
      <c r="E3" s="132"/>
      <c r="F3" s="132"/>
    </row>
    <row r="4" spans="1:9" ht="20.25" customHeight="1">
      <c r="A4" s="361" t="s">
        <v>849</v>
      </c>
      <c r="B4" s="133" t="s">
        <v>850</v>
      </c>
    </row>
    <row r="5" spans="1:9" ht="20.25" customHeight="1">
      <c r="B5" s="133" t="s">
        <v>851</v>
      </c>
    </row>
    <row r="6" spans="1:9" ht="20.25" customHeight="1">
      <c r="B6" s="134" t="s">
        <v>852</v>
      </c>
      <c r="C6" s="135">
        <v>8</v>
      </c>
      <c r="D6" s="136" t="s">
        <v>36</v>
      </c>
      <c r="H6" s="137"/>
      <c r="I6" s="131" t="s">
        <v>853</v>
      </c>
    </row>
    <row r="7" spans="1:9" ht="20.25" customHeight="1">
      <c r="B7" s="134" t="s">
        <v>854</v>
      </c>
      <c r="C7" s="135">
        <v>50</v>
      </c>
      <c r="D7" s="136" t="s">
        <v>437</v>
      </c>
      <c r="H7" s="138"/>
      <c r="I7" s="131" t="s">
        <v>855</v>
      </c>
    </row>
    <row r="8" spans="1:9" ht="20.25" customHeight="1">
      <c r="B8" s="134" t="s">
        <v>856</v>
      </c>
      <c r="C8" s="135">
        <v>300</v>
      </c>
      <c r="D8" s="136" t="s">
        <v>437</v>
      </c>
      <c r="E8" s="139"/>
      <c r="F8" s="139"/>
      <c r="G8" s="139"/>
      <c r="H8" s="139"/>
      <c r="I8" s="139"/>
    </row>
    <row r="9" spans="1:9" ht="20.25" customHeight="1">
      <c r="B9" s="134" t="s">
        <v>857</v>
      </c>
      <c r="C9" s="140">
        <f>C8-C7-C7</f>
        <v>200</v>
      </c>
      <c r="D9" s="136" t="s">
        <v>437</v>
      </c>
      <c r="E9" s="139"/>
      <c r="F9" s="139"/>
      <c r="G9" s="139"/>
      <c r="H9" s="139"/>
    </row>
    <row r="10" spans="1:9" ht="20.25" customHeight="1">
      <c r="B10" s="134" t="s">
        <v>858</v>
      </c>
      <c r="C10" s="135">
        <v>6</v>
      </c>
      <c r="D10" s="136" t="s">
        <v>437</v>
      </c>
      <c r="E10" s="139"/>
      <c r="F10" s="139"/>
      <c r="G10" s="139"/>
      <c r="H10" s="139"/>
    </row>
    <row r="11" spans="1:9" ht="20.25" customHeight="1">
      <c r="B11" s="134" t="s">
        <v>859</v>
      </c>
      <c r="C11" s="135">
        <v>11</v>
      </c>
      <c r="D11" s="139"/>
      <c r="E11" s="139"/>
      <c r="F11" s="139"/>
      <c r="G11" s="139"/>
      <c r="H11" s="139"/>
    </row>
    <row r="12" spans="1:9" ht="20.25" customHeight="1">
      <c r="B12" s="134" t="s">
        <v>860</v>
      </c>
      <c r="C12" s="138">
        <f>ROUND((C10/2)^2*PI()*C11,2)</f>
        <v>311.02</v>
      </c>
      <c r="D12" s="136" t="s">
        <v>313</v>
      </c>
      <c r="E12" s="139"/>
      <c r="F12" s="139"/>
      <c r="G12" s="139"/>
      <c r="H12" s="139"/>
      <c r="I12" s="139"/>
    </row>
    <row r="13" spans="1:9" ht="20.25" customHeight="1">
      <c r="B13" s="134" t="s">
        <v>861</v>
      </c>
      <c r="C13" s="141" t="s">
        <v>862</v>
      </c>
      <c r="D13" s="142">
        <f>ROUND((C8^2-C9^2)*PI()/4,0)</f>
        <v>39270</v>
      </c>
      <c r="E13" s="136" t="s">
        <v>313</v>
      </c>
      <c r="F13" s="139"/>
      <c r="G13" s="139"/>
      <c r="H13" s="139"/>
      <c r="I13" s="139"/>
    </row>
    <row r="14" spans="1:9" ht="20.25" customHeight="1">
      <c r="B14" s="134" t="s">
        <v>863</v>
      </c>
      <c r="C14" s="143">
        <v>1570</v>
      </c>
      <c r="D14" s="136" t="s">
        <v>473</v>
      </c>
      <c r="E14" s="139"/>
      <c r="F14" s="139"/>
      <c r="G14" s="139"/>
      <c r="H14" s="139"/>
      <c r="I14" s="139"/>
    </row>
    <row r="15" spans="1:9" ht="20.25" customHeight="1">
      <c r="B15" s="134" t="s">
        <v>864</v>
      </c>
      <c r="C15" s="143">
        <v>1070</v>
      </c>
      <c r="D15" s="136" t="s">
        <v>473</v>
      </c>
      <c r="E15" s="139"/>
      <c r="F15" s="139"/>
      <c r="G15" s="139"/>
      <c r="H15" s="139"/>
      <c r="I15" s="139"/>
    </row>
    <row r="16" spans="1:9" ht="20.25" customHeight="1">
      <c r="B16" s="134" t="s">
        <v>865</v>
      </c>
      <c r="C16" s="143">
        <v>400</v>
      </c>
      <c r="D16" s="136" t="s">
        <v>473</v>
      </c>
      <c r="E16" s="139"/>
      <c r="F16" s="139"/>
      <c r="G16" s="139"/>
      <c r="H16" s="139"/>
      <c r="I16" s="139"/>
    </row>
    <row r="17" spans="1:9" ht="20.25" customHeight="1">
      <c r="B17" s="134" t="s">
        <v>866</v>
      </c>
      <c r="C17" s="143">
        <v>200000</v>
      </c>
      <c r="D17" s="136" t="s">
        <v>473</v>
      </c>
      <c r="E17" s="139"/>
      <c r="F17" s="139"/>
      <c r="G17" s="139"/>
      <c r="H17" s="139"/>
      <c r="I17" s="139"/>
    </row>
    <row r="18" spans="1:9" ht="20.25" customHeight="1">
      <c r="B18" s="134" t="s">
        <v>867</v>
      </c>
      <c r="C18" s="139" t="s">
        <v>868</v>
      </c>
      <c r="D18" s="142">
        <f>0.75*C14</f>
        <v>1177.5</v>
      </c>
      <c r="E18" s="139" t="s">
        <v>473</v>
      </c>
      <c r="F18" s="139"/>
      <c r="G18" s="139"/>
      <c r="H18" s="139"/>
      <c r="I18" s="139"/>
    </row>
    <row r="19" spans="1:9" ht="20.25" customHeight="1">
      <c r="B19" s="139" t="s">
        <v>869</v>
      </c>
      <c r="C19" s="139"/>
      <c r="D19" s="136"/>
      <c r="E19" s="139"/>
      <c r="F19" s="139"/>
      <c r="G19" s="139"/>
      <c r="H19" s="139"/>
      <c r="I19" s="139"/>
    </row>
    <row r="20" spans="1:9" ht="20.25" customHeight="1">
      <c r="B20" s="134" t="s">
        <v>870</v>
      </c>
      <c r="C20" s="143">
        <v>32</v>
      </c>
      <c r="D20" s="136" t="s">
        <v>473</v>
      </c>
      <c r="E20" s="139"/>
      <c r="F20" s="139"/>
      <c r="G20" s="139"/>
      <c r="H20" s="139"/>
      <c r="I20" s="139"/>
    </row>
    <row r="21" spans="1:9" ht="20.25" customHeight="1">
      <c r="B21" s="134" t="s">
        <v>871</v>
      </c>
      <c r="C21" s="143">
        <v>23.5</v>
      </c>
      <c r="D21" s="136" t="s">
        <v>473</v>
      </c>
      <c r="E21" s="139"/>
      <c r="F21" s="139"/>
      <c r="G21" s="139"/>
      <c r="H21" s="139"/>
      <c r="I21" s="139"/>
    </row>
    <row r="22" spans="1:9" ht="20.25" customHeight="1">
      <c r="B22" s="134" t="s">
        <v>872</v>
      </c>
      <c r="C22" s="143">
        <v>35</v>
      </c>
      <c r="D22" s="136" t="s">
        <v>473</v>
      </c>
      <c r="E22" s="139"/>
      <c r="F22" s="139"/>
      <c r="G22" s="139"/>
      <c r="H22" s="139"/>
      <c r="I22" s="139"/>
    </row>
    <row r="23" spans="1:9" ht="20.25" customHeight="1">
      <c r="B23" s="134" t="s">
        <v>873</v>
      </c>
      <c r="C23" s="143">
        <v>26</v>
      </c>
      <c r="D23" s="136" t="s">
        <v>473</v>
      </c>
      <c r="E23" s="139"/>
      <c r="F23" s="139"/>
      <c r="G23" s="139"/>
      <c r="H23" s="139"/>
      <c r="I23" s="139"/>
    </row>
    <row r="24" spans="1:9" ht="20.25" customHeight="1">
      <c r="B24" s="134" t="s">
        <v>874</v>
      </c>
      <c r="C24" s="143">
        <v>2.75</v>
      </c>
      <c r="D24" s="136" t="s">
        <v>473</v>
      </c>
      <c r="E24" s="139"/>
      <c r="F24" s="139"/>
      <c r="G24" s="139"/>
      <c r="H24" s="139"/>
      <c r="I24" s="139"/>
    </row>
    <row r="25" spans="1:9" ht="20.25" customHeight="1">
      <c r="B25" s="134" t="s">
        <v>875</v>
      </c>
      <c r="C25" s="143">
        <v>2</v>
      </c>
      <c r="D25" s="136" t="s">
        <v>473</v>
      </c>
      <c r="E25" s="139"/>
      <c r="F25" s="139"/>
      <c r="G25" s="139"/>
      <c r="H25" s="139"/>
      <c r="I25" s="139"/>
    </row>
    <row r="26" spans="1:9" ht="20.25" customHeight="1">
      <c r="B26" s="134" t="s">
        <v>876</v>
      </c>
      <c r="C26" s="143">
        <v>34500</v>
      </c>
      <c r="D26" s="136" t="s">
        <v>473</v>
      </c>
      <c r="E26" s="139"/>
      <c r="F26" s="139"/>
      <c r="G26" s="139"/>
      <c r="H26" s="139"/>
      <c r="I26" s="139"/>
    </row>
    <row r="27" spans="1:9" ht="20.25" customHeight="1">
      <c r="B27" s="134" t="s">
        <v>877</v>
      </c>
      <c r="C27" s="139" t="s">
        <v>878</v>
      </c>
      <c r="D27" s="138">
        <v>35</v>
      </c>
      <c r="E27" s="136" t="s">
        <v>473</v>
      </c>
      <c r="F27" s="139"/>
      <c r="G27" s="139"/>
      <c r="H27" s="139"/>
      <c r="I27" s="139"/>
    </row>
    <row r="28" spans="1:9" ht="20.25" customHeight="1">
      <c r="A28" s="361" t="s">
        <v>879</v>
      </c>
      <c r="B28" s="133" t="s">
        <v>880</v>
      </c>
      <c r="C28" s="139"/>
      <c r="D28" s="139"/>
      <c r="E28" s="139"/>
      <c r="F28" s="139"/>
      <c r="G28" s="139"/>
      <c r="H28" s="139"/>
      <c r="I28" s="139"/>
    </row>
    <row r="29" spans="1:9" ht="20.25" customHeight="1">
      <c r="B29" s="136" t="s">
        <v>881</v>
      </c>
      <c r="C29" s="139"/>
      <c r="D29" s="139"/>
      <c r="E29" s="139"/>
      <c r="F29" s="139"/>
      <c r="G29" s="139"/>
      <c r="H29" s="139"/>
      <c r="I29" s="139"/>
    </row>
    <row r="30" spans="1:9" ht="20.25" customHeight="1">
      <c r="B30" s="436" t="s">
        <v>882</v>
      </c>
      <c r="C30" s="436"/>
      <c r="D30" s="436"/>
      <c r="E30" s="436"/>
      <c r="F30" s="436"/>
      <c r="G30" s="139"/>
      <c r="H30" s="139"/>
      <c r="I30" s="139"/>
    </row>
    <row r="31" spans="1:9" ht="20.25" customHeight="1">
      <c r="B31" s="134" t="s">
        <v>883</v>
      </c>
      <c r="C31" s="138">
        <f>1*C17/(C6*1000)</f>
        <v>25</v>
      </c>
      <c r="D31" s="136" t="s">
        <v>473</v>
      </c>
      <c r="E31" s="139"/>
      <c r="F31" s="139"/>
      <c r="G31" s="139"/>
      <c r="H31" s="139"/>
      <c r="I31" s="139"/>
    </row>
    <row r="32" spans="1:9" ht="20.25" customHeight="1">
      <c r="B32" s="136" t="s">
        <v>884</v>
      </c>
      <c r="C32" s="139"/>
      <c r="D32" s="139"/>
      <c r="E32" s="139"/>
      <c r="F32" s="139"/>
      <c r="G32" s="139"/>
      <c r="H32" s="139"/>
      <c r="I32" s="139"/>
    </row>
    <row r="33" spans="1:9" ht="20.25" customHeight="1">
      <c r="B33" s="139" t="s">
        <v>885</v>
      </c>
      <c r="C33" s="139"/>
      <c r="D33" s="139"/>
      <c r="E33" s="139"/>
      <c r="F33" s="139"/>
      <c r="G33" s="139"/>
      <c r="H33" s="139"/>
      <c r="I33" s="139"/>
    </row>
    <row r="34" spans="1:9" ht="20.25" customHeight="1">
      <c r="B34" s="134" t="s">
        <v>886</v>
      </c>
      <c r="C34" s="142">
        <v>40</v>
      </c>
      <c r="D34" s="139" t="s">
        <v>473</v>
      </c>
      <c r="E34" s="139"/>
      <c r="F34" s="139"/>
      <c r="G34" s="139"/>
      <c r="H34" s="139"/>
      <c r="I34" s="139"/>
    </row>
    <row r="35" spans="1:9" ht="20.25" customHeight="1">
      <c r="B35" s="136" t="s">
        <v>887</v>
      </c>
      <c r="C35" s="139"/>
      <c r="D35" s="139"/>
      <c r="E35" s="139"/>
      <c r="F35" s="139"/>
      <c r="G35" s="139"/>
      <c r="H35" s="139"/>
      <c r="I35" s="139"/>
    </row>
    <row r="36" spans="1:9" ht="20.25" customHeight="1">
      <c r="B36" s="439" t="s">
        <v>697</v>
      </c>
      <c r="C36" s="437">
        <f>ROUND(0.4*0.9*(1177/1570-0.5)*1177,1)</f>
        <v>105.8</v>
      </c>
      <c r="D36" s="436" t="s">
        <v>473</v>
      </c>
      <c r="E36" s="139"/>
      <c r="F36" s="139"/>
      <c r="G36" s="139"/>
      <c r="H36" s="139"/>
      <c r="I36" s="139"/>
    </row>
    <row r="37" spans="1:9" ht="20.25" customHeight="1">
      <c r="B37" s="439"/>
      <c r="C37" s="437"/>
      <c r="D37" s="436"/>
      <c r="E37" s="139"/>
      <c r="F37" s="139"/>
      <c r="G37" s="139"/>
      <c r="H37" s="139"/>
      <c r="I37" s="139"/>
    </row>
    <row r="38" spans="1:9" ht="20.25" customHeight="1">
      <c r="B38" s="139" t="s">
        <v>888</v>
      </c>
      <c r="C38" s="139"/>
      <c r="D38" s="139"/>
      <c r="E38" s="139"/>
      <c r="F38" s="139"/>
      <c r="G38" s="139"/>
      <c r="H38" s="139"/>
      <c r="I38" s="139"/>
    </row>
    <row r="39" spans="1:9" ht="20.25" customHeight="1">
      <c r="B39" s="136" t="s">
        <v>889</v>
      </c>
      <c r="C39" s="139"/>
      <c r="D39" s="139"/>
      <c r="E39" s="139"/>
      <c r="F39" s="139"/>
      <c r="G39" s="139"/>
      <c r="H39" s="139"/>
      <c r="I39" s="139"/>
    </row>
    <row r="40" spans="1:9" ht="20.25" customHeight="1">
      <c r="B40" s="139"/>
      <c r="C40" s="139"/>
      <c r="D40" s="139"/>
      <c r="E40" s="139"/>
      <c r="F40" s="139"/>
      <c r="G40" s="139"/>
      <c r="H40" s="139"/>
      <c r="I40" s="139"/>
    </row>
    <row r="41" spans="1:9" ht="20.25" customHeight="1">
      <c r="B41" s="439" t="s">
        <v>697</v>
      </c>
      <c r="C41" s="437">
        <f>ROUND((45+220*(C47/C22))/(1+15*C43),2)</f>
        <v>83.28</v>
      </c>
      <c r="D41" s="441" t="s">
        <v>473</v>
      </c>
      <c r="E41" s="139"/>
      <c r="F41" s="139"/>
      <c r="G41" s="139"/>
      <c r="H41" s="139"/>
      <c r="I41" s="139"/>
    </row>
    <row r="42" spans="1:9" ht="20.25" customHeight="1">
      <c r="B42" s="439"/>
      <c r="C42" s="437"/>
      <c r="D42" s="441"/>
      <c r="E42" s="139"/>
      <c r="F42" s="139"/>
      <c r="G42" s="139"/>
      <c r="H42" s="139"/>
      <c r="I42" s="139"/>
    </row>
    <row r="43" spans="1:9" ht="20.25" customHeight="1">
      <c r="B43" s="134" t="s">
        <v>890</v>
      </c>
      <c r="C43" s="136">
        <f>ROUND(C12/D13,3)</f>
        <v>8.0000000000000002E-3</v>
      </c>
      <c r="D43" s="139"/>
      <c r="E43" s="139"/>
      <c r="F43" s="139"/>
      <c r="G43" s="139"/>
      <c r="H43" s="139"/>
      <c r="I43" s="139"/>
    </row>
    <row r="44" spans="1:9" ht="20.25" customHeight="1">
      <c r="B44" s="139" t="s">
        <v>891</v>
      </c>
      <c r="C44" s="139" t="s">
        <v>892</v>
      </c>
      <c r="D44" s="142">
        <f>ROUND(C17/C26,2)</f>
        <v>5.8</v>
      </c>
      <c r="E44" s="139"/>
      <c r="F44" s="139"/>
      <c r="G44" s="139"/>
      <c r="H44" s="139"/>
      <c r="I44" s="139"/>
    </row>
    <row r="45" spans="1:9" ht="20.25" customHeight="1">
      <c r="A45" s="436" t="s">
        <v>893</v>
      </c>
      <c r="B45" s="436"/>
      <c r="C45" s="436"/>
      <c r="D45" s="436"/>
      <c r="E45" s="436"/>
      <c r="F45" s="436"/>
      <c r="G45" s="139"/>
      <c r="H45" s="139"/>
      <c r="I45" s="139"/>
    </row>
    <row r="46" spans="1:9" ht="20.25" customHeight="1">
      <c r="B46" s="134" t="s">
        <v>894</v>
      </c>
      <c r="C46" s="136">
        <f>C31+C34+C36</f>
        <v>170.8</v>
      </c>
      <c r="D46" s="141"/>
      <c r="E46" s="141"/>
      <c r="F46" s="141"/>
      <c r="G46" s="139"/>
      <c r="H46" s="139"/>
      <c r="I46" s="139"/>
    </row>
    <row r="47" spans="1:9" ht="20.25" customHeight="1">
      <c r="B47" s="439" t="s">
        <v>697</v>
      </c>
      <c r="C47" s="437">
        <f>ROUND(C12*((D18-C46)/(D13+C12*(D44-1))),2)</f>
        <v>7.68</v>
      </c>
      <c r="D47" s="438" t="s">
        <v>473</v>
      </c>
      <c r="E47" s="139"/>
      <c r="F47" s="139"/>
      <c r="G47" s="139"/>
      <c r="H47" s="139"/>
      <c r="I47" s="139"/>
    </row>
    <row r="48" spans="1:9" ht="20.25" customHeight="1">
      <c r="B48" s="439"/>
      <c r="C48" s="437"/>
      <c r="D48" s="438"/>
      <c r="E48" s="139"/>
      <c r="F48" s="139"/>
      <c r="G48" s="139"/>
      <c r="H48" s="139"/>
      <c r="I48" s="139"/>
    </row>
    <row r="49" spans="1:9" ht="20.25" customHeight="1">
      <c r="B49" s="136" t="s">
        <v>895</v>
      </c>
      <c r="C49" s="139"/>
      <c r="D49" s="139"/>
      <c r="E49" s="139"/>
      <c r="F49" s="139"/>
      <c r="G49" s="139"/>
      <c r="H49" s="139"/>
      <c r="I49" s="139"/>
    </row>
    <row r="50" spans="1:9" ht="20.25" customHeight="1">
      <c r="B50" s="134" t="s">
        <v>896</v>
      </c>
      <c r="C50" s="138">
        <f>C31+C34+C36+C41</f>
        <v>254.08</v>
      </c>
      <c r="D50" s="131" t="s">
        <v>473</v>
      </c>
      <c r="E50" s="139"/>
      <c r="F50" s="139"/>
      <c r="G50" s="139"/>
      <c r="H50" s="139"/>
      <c r="I50" s="139"/>
    </row>
    <row r="51" spans="1:9" ht="20.25" customHeight="1">
      <c r="A51" s="130" t="s">
        <v>897</v>
      </c>
      <c r="B51" s="133" t="s">
        <v>898</v>
      </c>
      <c r="C51" s="139"/>
      <c r="E51" s="139"/>
      <c r="F51" s="139"/>
      <c r="G51" s="139"/>
      <c r="H51" s="139"/>
      <c r="I51" s="139"/>
    </row>
    <row r="52" spans="1:9" ht="20.25" customHeight="1">
      <c r="B52" s="134" t="s">
        <v>899</v>
      </c>
      <c r="C52" s="138">
        <f>D18-C50</f>
        <v>923.42</v>
      </c>
      <c r="D52" s="131" t="s">
        <v>473</v>
      </c>
      <c r="E52" s="139"/>
      <c r="F52" s="139"/>
      <c r="G52" s="139"/>
      <c r="H52" s="139"/>
      <c r="I52" s="139"/>
    </row>
    <row r="53" spans="1:9" ht="20.25" customHeight="1">
      <c r="A53" s="361" t="s">
        <v>900</v>
      </c>
      <c r="B53" s="133" t="s">
        <v>901</v>
      </c>
      <c r="C53" s="139"/>
      <c r="D53" s="139"/>
      <c r="E53" s="139"/>
      <c r="F53" s="139"/>
      <c r="G53" s="139"/>
      <c r="H53" s="139"/>
      <c r="I53" s="139"/>
    </row>
    <row r="54" spans="1:9" ht="20.25" customHeight="1">
      <c r="B54" s="136" t="s">
        <v>902</v>
      </c>
      <c r="C54" s="139"/>
      <c r="D54" s="139"/>
      <c r="E54" s="139"/>
      <c r="F54" s="139"/>
      <c r="G54" s="139"/>
      <c r="H54" s="139"/>
      <c r="I54" s="139"/>
    </row>
    <row r="55" spans="1:9" ht="20.25" customHeight="1">
      <c r="B55" s="439" t="s">
        <v>697</v>
      </c>
      <c r="C55" s="440">
        <f>ROUND((C15*C12)/(C23*D13+C16*C12+1.5*(C15-C52)*C12),2)</f>
        <v>0.27</v>
      </c>
      <c r="D55" s="139"/>
      <c r="E55" s="139"/>
      <c r="F55" s="139"/>
      <c r="G55" s="139"/>
      <c r="H55" s="139"/>
      <c r="I55" s="139"/>
    </row>
    <row r="56" spans="1:9" ht="20.25" customHeight="1">
      <c r="B56" s="439"/>
      <c r="C56" s="440"/>
      <c r="D56" s="139"/>
      <c r="E56" s="139"/>
      <c r="F56" s="139"/>
      <c r="G56" s="139"/>
      <c r="H56" s="139"/>
      <c r="I56" s="139"/>
    </row>
    <row r="57" spans="1:9" ht="20.25" customHeight="1">
      <c r="B57" s="134" t="s">
        <v>903</v>
      </c>
      <c r="C57" s="142">
        <f>1-1.5*C55</f>
        <v>0.59499999999999997</v>
      </c>
      <c r="D57" s="139"/>
      <c r="E57" s="139"/>
      <c r="F57" s="139"/>
      <c r="G57" s="139"/>
      <c r="H57" s="139"/>
      <c r="I57" s="139"/>
    </row>
    <row r="58" spans="1:9" ht="20.25" customHeight="1">
      <c r="B58" s="136" t="s">
        <v>904</v>
      </c>
      <c r="C58" s="139"/>
      <c r="D58" s="139"/>
      <c r="E58" s="139"/>
      <c r="F58" s="139"/>
      <c r="G58" s="139"/>
      <c r="H58" s="139"/>
      <c r="I58" s="139"/>
    </row>
    <row r="59" spans="1:9" ht="20.25" customHeight="1">
      <c r="B59" s="139"/>
      <c r="C59" s="437">
        <f>ROUND(C15*C12/C23/D13,2)</f>
        <v>0.33</v>
      </c>
      <c r="D59" s="442" t="s">
        <v>905</v>
      </c>
      <c r="E59" s="442">
        <v>0.75</v>
      </c>
      <c r="F59" s="139"/>
      <c r="G59" s="139"/>
      <c r="H59" s="139"/>
      <c r="I59" s="139"/>
    </row>
    <row r="60" spans="1:9" ht="20.25" customHeight="1">
      <c r="B60" s="139"/>
      <c r="C60" s="437"/>
      <c r="D60" s="442"/>
      <c r="E60" s="442"/>
      <c r="F60" s="139"/>
      <c r="G60" s="139"/>
      <c r="H60" s="139"/>
      <c r="I60" s="139"/>
    </row>
    <row r="61" spans="1:9" ht="20.25" customHeight="1">
      <c r="B61" s="139" t="s">
        <v>906</v>
      </c>
      <c r="C61" s="139"/>
      <c r="D61" s="139"/>
      <c r="E61" s="139"/>
      <c r="F61" s="139"/>
      <c r="G61" s="139"/>
      <c r="H61" s="139"/>
      <c r="I61" s="139"/>
    </row>
    <row r="62" spans="1:9" ht="20.25" customHeight="1">
      <c r="B62" s="141" t="s">
        <v>907</v>
      </c>
      <c r="C62" s="139"/>
      <c r="D62" s="139"/>
      <c r="E62" s="139"/>
      <c r="F62" s="139"/>
      <c r="G62" s="139"/>
      <c r="H62" s="139"/>
      <c r="I62" s="139"/>
    </row>
    <row r="63" spans="1:9" ht="20.25" customHeight="1">
      <c r="B63" s="139"/>
      <c r="C63" s="439" t="s">
        <v>697</v>
      </c>
      <c r="D63" s="437">
        <f>ROUND(C23*D13*(C8/2+C9/2)*((SIN(RADIANS(180*C55)))/2/PI())+C16*C12*(C8/2-20)*(SIN(RADIANS(180*C55))/PI())+(C15-C52)*C12*(C8/2-20)*(SIN(RADIANS(180*C57))/PI()),2)</f>
        <v>36138036.439999998</v>
      </c>
      <c r="E63" s="436" t="s">
        <v>494</v>
      </c>
      <c r="F63" s="139"/>
      <c r="G63" s="139"/>
      <c r="H63" s="139"/>
      <c r="I63" s="139"/>
    </row>
    <row r="64" spans="1:9" ht="20.25" customHeight="1">
      <c r="B64" s="139"/>
      <c r="C64" s="439"/>
      <c r="D64" s="437"/>
      <c r="E64" s="436"/>
      <c r="F64" s="139"/>
      <c r="G64" s="139"/>
      <c r="H64" s="139"/>
      <c r="I64" s="139"/>
    </row>
    <row r="65" spans="1:9" ht="20.25" customHeight="1">
      <c r="B65" s="139"/>
      <c r="C65" s="439"/>
      <c r="D65" s="437"/>
      <c r="E65" s="436"/>
      <c r="F65" s="139"/>
      <c r="G65" s="139"/>
      <c r="H65" s="139"/>
      <c r="I65" s="139"/>
    </row>
    <row r="66" spans="1:9" ht="20.25" customHeight="1">
      <c r="B66" s="145" t="s">
        <v>908</v>
      </c>
      <c r="C66" s="142">
        <f>ROUND(D63/1000000,2)</f>
        <v>36.14</v>
      </c>
      <c r="D66" s="136" t="s">
        <v>909</v>
      </c>
      <c r="E66" s="139"/>
      <c r="F66" s="139"/>
      <c r="G66" s="139"/>
      <c r="H66" s="139"/>
      <c r="I66" s="139"/>
    </row>
    <row r="67" spans="1:9" ht="20.25" customHeight="1">
      <c r="B67" s="145" t="s">
        <v>910</v>
      </c>
      <c r="C67" s="142">
        <f>ROUND(C66/1.4,2)</f>
        <v>25.81</v>
      </c>
      <c r="D67" s="146" t="str">
        <f>IF(C67&gt;E67,"&gt;","&lt;")</f>
        <v>&gt;</v>
      </c>
      <c r="E67" s="147">
        <v>16.13</v>
      </c>
      <c r="F67" s="136" t="s">
        <v>911</v>
      </c>
      <c r="G67" s="136"/>
      <c r="H67" s="139"/>
      <c r="I67" s="139"/>
    </row>
    <row r="68" spans="1:9" ht="20.25" customHeight="1">
      <c r="B68" s="437" t="str">
        <f>IF(C67&gt;E67,"满足设计要求","不满足设计要求")</f>
        <v>满足设计要求</v>
      </c>
      <c r="C68" s="437"/>
      <c r="D68" s="139"/>
      <c r="E68" s="139"/>
      <c r="F68" s="139"/>
      <c r="G68" s="139"/>
      <c r="H68" s="139"/>
      <c r="I68" s="139"/>
    </row>
    <row r="69" spans="1:9" ht="20.25" customHeight="1">
      <c r="A69" s="361" t="s">
        <v>912</v>
      </c>
      <c r="B69" s="133" t="s">
        <v>913</v>
      </c>
      <c r="C69" s="139"/>
      <c r="D69" s="139"/>
      <c r="E69" s="139"/>
      <c r="F69" s="139"/>
      <c r="G69" s="139"/>
      <c r="H69" s="139"/>
      <c r="I69" s="139"/>
    </row>
    <row r="70" spans="1:9" ht="20.25" customHeight="1">
      <c r="B70" s="136" t="s">
        <v>914</v>
      </c>
      <c r="C70" s="139"/>
      <c r="D70" s="139"/>
      <c r="E70" s="139"/>
      <c r="F70" s="139"/>
      <c r="G70" s="139"/>
      <c r="H70" s="139"/>
      <c r="I70" s="139"/>
    </row>
    <row r="71" spans="1:9" ht="20.25" customHeight="1">
      <c r="B71" s="139" t="s">
        <v>915</v>
      </c>
      <c r="C71" s="139"/>
      <c r="D71" s="139"/>
      <c r="E71" s="139"/>
      <c r="F71" s="139"/>
      <c r="G71" s="139"/>
      <c r="H71" s="139"/>
      <c r="I71" s="139"/>
    </row>
    <row r="72" spans="1:9" ht="20.25" customHeight="1">
      <c r="B72" s="139" t="s">
        <v>916</v>
      </c>
      <c r="C72" s="138">
        <f>ROUND((C80+C74*C24)*C76,0)</f>
        <v>26070913</v>
      </c>
      <c r="D72" s="136" t="s">
        <v>494</v>
      </c>
      <c r="E72" s="139"/>
      <c r="F72" s="139"/>
      <c r="G72" s="139"/>
      <c r="H72" s="139"/>
      <c r="I72" s="139"/>
    </row>
    <row r="73" spans="1:9" ht="20.25" customHeight="1">
      <c r="B73" s="139" t="s">
        <v>917</v>
      </c>
      <c r="C73" s="139"/>
      <c r="D73" s="139"/>
      <c r="E73" s="139"/>
      <c r="F73" s="139"/>
      <c r="G73" s="139"/>
      <c r="H73" s="139"/>
      <c r="I73" s="139"/>
    </row>
    <row r="74" spans="1:9" ht="20.25" customHeight="1">
      <c r="B74" s="134" t="s">
        <v>918</v>
      </c>
      <c r="C74" s="142">
        <f>ROUND(2-0.4*(C9/C8),2)</f>
        <v>1.73</v>
      </c>
      <c r="D74" s="139"/>
      <c r="E74" s="139"/>
      <c r="F74" s="139"/>
      <c r="G74" s="139"/>
      <c r="H74" s="139"/>
      <c r="I74" s="139"/>
    </row>
    <row r="75" spans="1:9" ht="20.25" customHeight="1">
      <c r="B75" s="139" t="s">
        <v>919</v>
      </c>
      <c r="C75" s="139"/>
      <c r="D75" s="139"/>
      <c r="E75" s="139"/>
      <c r="F75" s="139"/>
      <c r="G75" s="139"/>
      <c r="H75" s="139"/>
      <c r="I75" s="139"/>
    </row>
    <row r="76" spans="1:9" ht="20.25" customHeight="1">
      <c r="B76" s="139"/>
      <c r="C76" s="437">
        <f>ROUND((C8^2+C9^2)*C78/8/C8,0)</f>
        <v>2207996</v>
      </c>
      <c r="D76" s="139"/>
      <c r="E76" s="139"/>
      <c r="F76" s="139"/>
      <c r="G76" s="139"/>
      <c r="H76" s="139"/>
      <c r="I76" s="139"/>
    </row>
    <row r="77" spans="1:9" ht="20.25" customHeight="1">
      <c r="B77" s="139"/>
      <c r="C77" s="437"/>
      <c r="D77" s="139"/>
      <c r="E77" s="139"/>
      <c r="F77" s="139"/>
      <c r="G77" s="139"/>
      <c r="H77" s="139"/>
      <c r="I77" s="139"/>
    </row>
    <row r="78" spans="1:9" ht="20.25" customHeight="1">
      <c r="B78" s="134" t="s">
        <v>920</v>
      </c>
      <c r="C78" s="138">
        <f>ROUND(D13+(D44-1)*C12,0)</f>
        <v>40763</v>
      </c>
      <c r="D78" s="136" t="s">
        <v>313</v>
      </c>
      <c r="E78" s="139"/>
      <c r="F78" s="139"/>
      <c r="G78" s="139"/>
      <c r="H78" s="139"/>
      <c r="I78" s="139"/>
    </row>
    <row r="79" spans="1:9" ht="20.25" customHeight="1">
      <c r="B79" s="136" t="s">
        <v>921</v>
      </c>
      <c r="C79" s="139"/>
      <c r="D79" s="139"/>
      <c r="E79" s="139"/>
      <c r="F79" s="139"/>
      <c r="G79" s="139"/>
      <c r="H79" s="139"/>
      <c r="I79" s="139"/>
    </row>
    <row r="80" spans="1:9" ht="20.25" customHeight="1">
      <c r="B80" s="139"/>
      <c r="C80" s="437">
        <f>ROUND(C12*(D18-C50)/C78,2)</f>
        <v>7.05</v>
      </c>
      <c r="D80" s="144" t="s">
        <v>473</v>
      </c>
      <c r="E80" s="139"/>
      <c r="F80" s="139"/>
      <c r="G80" s="139"/>
      <c r="H80" s="139"/>
      <c r="I80" s="139"/>
    </row>
    <row r="81" spans="1:9" ht="20.25" customHeight="1">
      <c r="B81" s="139"/>
      <c r="C81" s="437"/>
      <c r="D81" s="144"/>
      <c r="E81" s="139"/>
      <c r="F81" s="139"/>
      <c r="G81" s="139"/>
      <c r="H81" s="139"/>
      <c r="I81" s="139"/>
    </row>
    <row r="82" spans="1:9" ht="20.25" customHeight="1">
      <c r="B82" s="145" t="s">
        <v>922</v>
      </c>
      <c r="C82" s="138">
        <f>ROUND(C72/1000000,2)</f>
        <v>26.07</v>
      </c>
      <c r="D82" s="148" t="str">
        <f>IF(C82&gt;E82,"&gt;","&lt;")</f>
        <v>&gt;</v>
      </c>
      <c r="E82" s="147">
        <v>16.13</v>
      </c>
      <c r="F82" s="136" t="s">
        <v>911</v>
      </c>
      <c r="G82" s="139"/>
      <c r="H82" s="139"/>
      <c r="I82" s="139"/>
    </row>
    <row r="83" spans="1:9" ht="20.25" customHeight="1">
      <c r="B83" s="437" t="str">
        <f>IF(C82&gt;E82,"满足设计要求","不满足设计要求")</f>
        <v>满足设计要求</v>
      </c>
      <c r="C83" s="437"/>
      <c r="D83" s="437"/>
      <c r="E83" s="437"/>
      <c r="F83" s="139"/>
      <c r="G83" s="139"/>
      <c r="H83" s="139"/>
      <c r="I83" s="139"/>
    </row>
    <row r="84" spans="1:9" ht="20.25" customHeight="1">
      <c r="B84" s="139"/>
      <c r="C84" s="139"/>
      <c r="D84" s="139"/>
      <c r="E84" s="139"/>
      <c r="F84" s="139"/>
      <c r="G84" s="139"/>
      <c r="H84" s="139"/>
      <c r="I84" s="139"/>
    </row>
    <row r="85" spans="1:9" ht="20.25" customHeight="1">
      <c r="B85" s="139"/>
      <c r="C85" s="139"/>
      <c r="D85" s="139"/>
      <c r="E85" s="139"/>
      <c r="F85" s="139"/>
      <c r="G85" s="139"/>
      <c r="H85" s="139"/>
      <c r="I85" s="139"/>
    </row>
    <row r="86" spans="1:9" ht="20.25" customHeight="1">
      <c r="B86" s="139"/>
      <c r="C86" s="139"/>
      <c r="D86" s="139"/>
      <c r="E86" s="139"/>
      <c r="F86" s="139"/>
      <c r="G86" s="139"/>
      <c r="H86" s="139"/>
      <c r="I86" s="139"/>
    </row>
    <row r="87" spans="1:9" ht="20.25" customHeight="1">
      <c r="A87" s="438" t="s">
        <v>923</v>
      </c>
      <c r="B87" s="438"/>
      <c r="C87" s="438"/>
      <c r="D87" s="438"/>
      <c r="E87" s="438"/>
      <c r="F87" s="438"/>
      <c r="G87" s="139"/>
      <c r="H87" s="139"/>
      <c r="I87" s="139"/>
    </row>
    <row r="88" spans="1:9" ht="20.25" customHeight="1">
      <c r="B88" s="139"/>
      <c r="C88" s="139"/>
      <c r="D88" s="139"/>
      <c r="E88" s="139"/>
      <c r="F88" s="139"/>
      <c r="G88" s="139"/>
      <c r="H88" s="139"/>
      <c r="I88" s="139"/>
    </row>
    <row r="89" spans="1:9" ht="20.25" customHeight="1">
      <c r="B89" s="139"/>
      <c r="C89" s="139"/>
      <c r="D89" s="139"/>
      <c r="E89" s="139"/>
      <c r="F89" s="139"/>
      <c r="G89" s="139"/>
      <c r="H89" s="139"/>
      <c r="I89" s="139"/>
    </row>
    <row r="90" spans="1:9" ht="20.25" customHeight="1">
      <c r="B90" s="139"/>
      <c r="C90" s="139"/>
      <c r="D90" s="139"/>
      <c r="E90" s="139"/>
      <c r="F90" s="139"/>
      <c r="G90" s="139"/>
      <c r="H90" s="139"/>
      <c r="I90" s="139"/>
    </row>
    <row r="91" spans="1:9" ht="20.25" customHeight="1">
      <c r="B91" s="139"/>
      <c r="C91" s="139"/>
      <c r="D91" s="139"/>
      <c r="E91" s="139"/>
      <c r="F91" s="139"/>
      <c r="G91" s="139"/>
      <c r="H91" s="139"/>
      <c r="I91" s="139"/>
    </row>
    <row r="92" spans="1:9" ht="20.25" customHeight="1">
      <c r="B92" s="139"/>
      <c r="C92" s="139"/>
      <c r="D92" s="139"/>
      <c r="E92" s="139"/>
      <c r="F92" s="139"/>
      <c r="G92" s="139"/>
      <c r="H92" s="139"/>
      <c r="I92" s="139"/>
    </row>
    <row r="93" spans="1:9" ht="20.25" customHeight="1">
      <c r="B93" s="139"/>
      <c r="C93" s="139"/>
      <c r="D93" s="139"/>
      <c r="E93" s="139"/>
      <c r="F93" s="139"/>
      <c r="G93" s="139"/>
      <c r="H93" s="139"/>
      <c r="I93" s="139"/>
    </row>
    <row r="94" spans="1:9" ht="20.25" customHeight="1">
      <c r="B94" s="139"/>
      <c r="C94" s="139"/>
      <c r="D94" s="139"/>
      <c r="E94" s="139"/>
      <c r="F94" s="139"/>
      <c r="G94" s="139"/>
      <c r="H94" s="139"/>
      <c r="I94" s="139"/>
    </row>
    <row r="95" spans="1:9" ht="20.25" customHeight="1">
      <c r="B95" s="139"/>
      <c r="C95" s="139"/>
      <c r="D95" s="139"/>
      <c r="E95" s="139"/>
      <c r="F95" s="139"/>
      <c r="G95" s="139"/>
      <c r="H95" s="139"/>
      <c r="I95" s="139"/>
    </row>
    <row r="96" spans="1:9" ht="20.25" customHeight="1">
      <c r="B96" s="139"/>
      <c r="C96" s="139"/>
      <c r="D96" s="139"/>
      <c r="E96" s="139"/>
      <c r="F96" s="139"/>
      <c r="G96" s="139"/>
      <c r="H96" s="139"/>
      <c r="I96" s="139"/>
    </row>
    <row r="97" spans="2:9" ht="20.25" customHeight="1">
      <c r="B97" s="139"/>
      <c r="C97" s="139"/>
      <c r="D97" s="139"/>
      <c r="E97" s="139"/>
      <c r="F97" s="139"/>
      <c r="G97" s="139"/>
      <c r="H97" s="139"/>
      <c r="I97" s="139"/>
    </row>
    <row r="98" spans="2:9" ht="20.25" customHeight="1">
      <c r="B98" s="139"/>
      <c r="C98" s="139"/>
      <c r="D98" s="139"/>
      <c r="E98" s="139"/>
      <c r="F98" s="139"/>
      <c r="G98" s="139"/>
      <c r="H98" s="139"/>
      <c r="I98" s="139"/>
    </row>
    <row r="99" spans="2:9" ht="20.25" customHeight="1">
      <c r="B99" s="139"/>
      <c r="C99" s="139"/>
      <c r="D99" s="139"/>
      <c r="E99" s="139"/>
      <c r="F99" s="139"/>
      <c r="G99" s="139"/>
      <c r="H99" s="139"/>
      <c r="I99" s="139"/>
    </row>
    <row r="100" spans="2:9" ht="20.25" customHeight="1">
      <c r="B100" s="139"/>
      <c r="C100" s="139"/>
      <c r="D100" s="139"/>
      <c r="E100" s="139"/>
      <c r="F100" s="139"/>
      <c r="G100" s="139"/>
      <c r="H100" s="139"/>
      <c r="I100" s="139"/>
    </row>
    <row r="101" spans="2:9" ht="20.25" customHeight="1">
      <c r="B101" s="139"/>
      <c r="C101" s="139"/>
      <c r="D101" s="139"/>
      <c r="E101" s="139"/>
      <c r="F101" s="139"/>
      <c r="G101" s="139"/>
      <c r="H101" s="139"/>
      <c r="I101" s="139"/>
    </row>
    <row r="102" spans="2:9" ht="20.25" customHeight="1">
      <c r="B102" s="139"/>
      <c r="C102" s="139"/>
      <c r="D102" s="139"/>
      <c r="E102" s="139"/>
      <c r="F102" s="139"/>
      <c r="G102" s="139"/>
      <c r="H102" s="139"/>
      <c r="I102" s="139"/>
    </row>
    <row r="103" spans="2:9" ht="20.25" customHeight="1">
      <c r="B103" s="139"/>
      <c r="C103" s="139"/>
      <c r="D103" s="139"/>
      <c r="E103" s="139"/>
      <c r="F103" s="139"/>
      <c r="G103" s="139"/>
      <c r="H103" s="139"/>
      <c r="I103" s="139"/>
    </row>
    <row r="104" spans="2:9" ht="20.25" customHeight="1">
      <c r="B104" s="139"/>
      <c r="C104" s="139"/>
      <c r="D104" s="139"/>
      <c r="E104" s="139"/>
      <c r="F104" s="139"/>
      <c r="G104" s="139"/>
      <c r="H104" s="139"/>
      <c r="I104" s="139"/>
    </row>
    <row r="105" spans="2:9" ht="20.25" customHeight="1">
      <c r="B105" s="139"/>
      <c r="C105" s="139"/>
      <c r="D105" s="139"/>
      <c r="E105" s="139"/>
      <c r="F105" s="139"/>
      <c r="G105" s="139"/>
      <c r="H105" s="139"/>
      <c r="I105" s="139"/>
    </row>
    <row r="106" spans="2:9" ht="20.25" customHeight="1">
      <c r="B106" s="139"/>
      <c r="C106" s="139"/>
      <c r="D106" s="139"/>
      <c r="E106" s="139"/>
      <c r="F106" s="139"/>
      <c r="G106" s="139"/>
      <c r="H106" s="139"/>
      <c r="I106" s="139"/>
    </row>
    <row r="107" spans="2:9" ht="20.25" customHeight="1">
      <c r="B107" s="139"/>
      <c r="C107" s="139"/>
      <c r="D107" s="139"/>
      <c r="E107" s="139"/>
      <c r="F107" s="139"/>
      <c r="G107" s="139"/>
      <c r="H107" s="139"/>
      <c r="I107" s="139"/>
    </row>
    <row r="108" spans="2:9" ht="20.25" customHeight="1">
      <c r="B108" s="139"/>
      <c r="C108" s="139"/>
      <c r="D108" s="139"/>
      <c r="E108" s="139"/>
      <c r="F108" s="139"/>
      <c r="G108" s="139"/>
      <c r="H108" s="139"/>
      <c r="I108" s="139"/>
    </row>
    <row r="109" spans="2:9" ht="20.25" customHeight="1">
      <c r="B109" s="139"/>
      <c r="C109" s="139"/>
      <c r="D109" s="139"/>
      <c r="E109" s="139"/>
      <c r="F109" s="139"/>
      <c r="G109" s="139"/>
      <c r="H109" s="139"/>
      <c r="I109" s="139"/>
    </row>
    <row r="110" spans="2:9" ht="20.25" customHeight="1">
      <c r="B110" s="139"/>
      <c r="C110" s="139"/>
      <c r="D110" s="139"/>
      <c r="E110" s="139"/>
      <c r="F110" s="139"/>
      <c r="G110" s="139"/>
      <c r="H110" s="139"/>
      <c r="I110" s="139"/>
    </row>
    <row r="111" spans="2:9" ht="20.25" customHeight="1">
      <c r="B111" s="139"/>
      <c r="C111" s="139"/>
      <c r="D111" s="139"/>
      <c r="E111" s="139"/>
      <c r="F111" s="139"/>
      <c r="G111" s="139"/>
      <c r="H111" s="139"/>
      <c r="I111" s="139"/>
    </row>
    <row r="112" spans="2:9" ht="20.25" customHeight="1">
      <c r="B112" s="139"/>
      <c r="C112" s="139"/>
      <c r="D112" s="139"/>
      <c r="E112" s="139"/>
      <c r="F112" s="139"/>
      <c r="G112" s="139"/>
      <c r="H112" s="139"/>
      <c r="I112" s="139"/>
    </row>
    <row r="113" spans="2:9" ht="20.25" customHeight="1">
      <c r="B113" s="139"/>
      <c r="C113" s="139"/>
      <c r="D113" s="139"/>
      <c r="E113" s="139"/>
      <c r="F113" s="139"/>
      <c r="G113" s="139"/>
      <c r="H113" s="139"/>
      <c r="I113" s="139"/>
    </row>
    <row r="114" spans="2:9" ht="20.25" customHeight="1">
      <c r="B114" s="139"/>
      <c r="C114" s="139"/>
      <c r="D114" s="139"/>
      <c r="E114" s="139"/>
      <c r="F114" s="139"/>
      <c r="G114" s="139"/>
      <c r="H114" s="139"/>
      <c r="I114" s="139"/>
    </row>
    <row r="115" spans="2:9" ht="20.25" customHeight="1">
      <c r="B115" s="139"/>
      <c r="C115" s="139"/>
      <c r="D115" s="139"/>
      <c r="E115" s="139"/>
      <c r="F115" s="139"/>
      <c r="G115" s="139"/>
      <c r="H115" s="139"/>
      <c r="I115" s="139"/>
    </row>
    <row r="116" spans="2:9" ht="20.25" customHeight="1">
      <c r="B116" s="139"/>
      <c r="C116" s="139"/>
      <c r="D116" s="139"/>
      <c r="E116" s="139"/>
      <c r="F116" s="139"/>
      <c r="G116" s="139"/>
      <c r="H116" s="139"/>
      <c r="I116" s="139"/>
    </row>
    <row r="117" spans="2:9" ht="20.25" customHeight="1">
      <c r="B117" s="139"/>
      <c r="C117" s="139"/>
      <c r="D117" s="139"/>
      <c r="E117" s="139"/>
      <c r="F117" s="139"/>
      <c r="G117" s="139"/>
      <c r="H117" s="139"/>
      <c r="I117" s="139"/>
    </row>
    <row r="118" spans="2:9" ht="20.25" customHeight="1">
      <c r="B118" s="139"/>
      <c r="C118" s="139"/>
      <c r="D118" s="139"/>
      <c r="E118" s="139"/>
      <c r="F118" s="139"/>
      <c r="G118" s="139"/>
      <c r="H118" s="139"/>
      <c r="I118" s="139"/>
    </row>
    <row r="119" spans="2:9" ht="20.25" customHeight="1">
      <c r="B119" s="139"/>
      <c r="C119" s="139"/>
      <c r="D119" s="139"/>
      <c r="E119" s="139"/>
      <c r="F119" s="139"/>
      <c r="G119" s="139"/>
      <c r="H119" s="139"/>
      <c r="I119" s="139"/>
    </row>
    <row r="120" spans="2:9" ht="20.25" customHeight="1">
      <c r="B120" s="139"/>
      <c r="C120" s="139"/>
      <c r="D120" s="139"/>
      <c r="E120" s="139"/>
      <c r="F120" s="139"/>
      <c r="G120" s="139"/>
      <c r="H120" s="139"/>
      <c r="I120" s="139"/>
    </row>
    <row r="121" spans="2:9" ht="20.25" customHeight="1">
      <c r="B121" s="139"/>
      <c r="C121" s="139"/>
      <c r="D121" s="139"/>
      <c r="E121" s="139"/>
      <c r="F121" s="139"/>
      <c r="G121" s="139"/>
      <c r="H121" s="139"/>
      <c r="I121" s="139"/>
    </row>
    <row r="122" spans="2:9" ht="20.25" customHeight="1">
      <c r="B122" s="139"/>
      <c r="C122" s="139"/>
      <c r="D122" s="139"/>
      <c r="E122" s="139"/>
      <c r="F122" s="139"/>
      <c r="G122" s="139"/>
      <c r="H122" s="139"/>
      <c r="I122" s="139"/>
    </row>
    <row r="123" spans="2:9" ht="20.25" customHeight="1">
      <c r="B123" s="139"/>
      <c r="C123" s="139"/>
      <c r="D123" s="139"/>
      <c r="E123" s="139"/>
      <c r="F123" s="139"/>
      <c r="G123" s="139"/>
      <c r="H123" s="139"/>
      <c r="I123" s="139"/>
    </row>
    <row r="124" spans="2:9" ht="20.25" customHeight="1">
      <c r="B124" s="139"/>
      <c r="C124" s="139"/>
      <c r="D124" s="139"/>
      <c r="E124" s="139"/>
      <c r="F124" s="139"/>
      <c r="G124" s="139"/>
      <c r="H124" s="139"/>
      <c r="I124" s="139"/>
    </row>
    <row r="125" spans="2:9" ht="20.25" customHeight="1">
      <c r="B125" s="139"/>
      <c r="C125" s="139"/>
      <c r="D125" s="139"/>
      <c r="E125" s="139"/>
      <c r="F125" s="139"/>
      <c r="G125" s="139"/>
      <c r="H125" s="139"/>
      <c r="I125" s="139"/>
    </row>
    <row r="126" spans="2:9" ht="20.25" customHeight="1">
      <c r="B126" s="139"/>
      <c r="C126" s="139"/>
      <c r="D126" s="139"/>
      <c r="E126" s="139"/>
      <c r="F126" s="139"/>
      <c r="G126" s="139"/>
      <c r="H126" s="139"/>
      <c r="I126" s="139"/>
    </row>
    <row r="127" spans="2:9" ht="20.25" customHeight="1">
      <c r="B127" s="139"/>
      <c r="C127" s="139"/>
      <c r="D127" s="139"/>
      <c r="E127" s="139"/>
      <c r="F127" s="139"/>
      <c r="G127" s="139"/>
      <c r="H127" s="139"/>
      <c r="I127" s="139"/>
    </row>
    <row r="128" spans="2:9" ht="20.25" customHeight="1">
      <c r="B128" s="139"/>
      <c r="C128" s="139"/>
      <c r="D128" s="139"/>
      <c r="E128" s="139"/>
      <c r="F128" s="139"/>
      <c r="G128" s="139"/>
      <c r="H128" s="139"/>
      <c r="I128" s="139"/>
    </row>
    <row r="129" spans="2:9" ht="20.25" customHeight="1">
      <c r="B129" s="139"/>
      <c r="C129" s="139"/>
      <c r="D129" s="139"/>
      <c r="E129" s="139"/>
      <c r="F129" s="139"/>
      <c r="G129" s="139"/>
      <c r="H129" s="139"/>
      <c r="I129" s="139"/>
    </row>
    <row r="130" spans="2:9" ht="20.25" customHeight="1">
      <c r="B130" s="139"/>
      <c r="C130" s="139"/>
      <c r="D130" s="139"/>
      <c r="E130" s="139"/>
      <c r="F130" s="139"/>
      <c r="G130" s="139"/>
      <c r="H130" s="139"/>
      <c r="I130" s="139"/>
    </row>
    <row r="131" spans="2:9" ht="20.25" customHeight="1">
      <c r="B131" s="139"/>
      <c r="C131" s="139"/>
      <c r="D131" s="139"/>
      <c r="E131" s="139"/>
      <c r="F131" s="139"/>
      <c r="G131" s="139"/>
      <c r="H131" s="139"/>
      <c r="I131" s="139"/>
    </row>
    <row r="132" spans="2:9" ht="20.25" customHeight="1">
      <c r="B132" s="139"/>
      <c r="C132" s="139"/>
      <c r="D132" s="139"/>
      <c r="E132" s="139"/>
      <c r="F132" s="139"/>
      <c r="G132" s="139"/>
      <c r="H132" s="139"/>
      <c r="I132" s="139"/>
    </row>
    <row r="133" spans="2:9" ht="20.25" customHeight="1">
      <c r="B133" s="139"/>
      <c r="C133" s="139"/>
      <c r="D133" s="139"/>
      <c r="E133" s="139"/>
      <c r="F133" s="139"/>
      <c r="G133" s="139"/>
      <c r="H133" s="139"/>
      <c r="I133" s="139"/>
    </row>
    <row r="134" spans="2:9" ht="20.25" customHeight="1">
      <c r="B134" s="139"/>
      <c r="C134" s="139"/>
      <c r="D134" s="139"/>
      <c r="E134" s="139"/>
      <c r="F134" s="139"/>
      <c r="G134" s="139"/>
      <c r="H134" s="139"/>
      <c r="I134" s="139"/>
    </row>
    <row r="135" spans="2:9" ht="20.25" customHeight="1">
      <c r="B135" s="139"/>
      <c r="C135" s="139"/>
      <c r="D135" s="139"/>
      <c r="E135" s="139"/>
      <c r="F135" s="139"/>
      <c r="G135" s="139"/>
      <c r="H135" s="139"/>
      <c r="I135" s="139"/>
    </row>
    <row r="136" spans="2:9" ht="20.25" customHeight="1">
      <c r="B136" s="139"/>
      <c r="C136" s="139"/>
      <c r="D136" s="139"/>
      <c r="E136" s="139"/>
      <c r="F136" s="139"/>
      <c r="G136" s="139"/>
      <c r="H136" s="139"/>
      <c r="I136" s="139"/>
    </row>
    <row r="137" spans="2:9" ht="20.25" customHeight="1">
      <c r="B137" s="139"/>
      <c r="C137" s="139"/>
      <c r="D137" s="139"/>
      <c r="E137" s="139"/>
      <c r="F137" s="139"/>
      <c r="G137" s="139"/>
      <c r="H137" s="139"/>
      <c r="I137" s="139"/>
    </row>
  </sheetData>
  <sheetProtection password="CE28" sheet="1" objects="1" scenarios="1"/>
  <mergeCells count="26">
    <mergeCell ref="B83:E83"/>
    <mergeCell ref="A87:F87"/>
    <mergeCell ref="B36:B37"/>
    <mergeCell ref="B41:B42"/>
    <mergeCell ref="B47:B48"/>
    <mergeCell ref="B55:B56"/>
    <mergeCell ref="C36:C37"/>
    <mergeCell ref="C41:C42"/>
    <mergeCell ref="C47:C48"/>
    <mergeCell ref="C55:C56"/>
    <mergeCell ref="C59:C60"/>
    <mergeCell ref="C63:C65"/>
    <mergeCell ref="C76:C77"/>
    <mergeCell ref="C80:C81"/>
    <mergeCell ref="D36:D37"/>
    <mergeCell ref="D41:D42"/>
    <mergeCell ref="A1:F1"/>
    <mergeCell ref="A2:F2"/>
    <mergeCell ref="B30:F30"/>
    <mergeCell ref="A45:F45"/>
    <mergeCell ref="B68:C68"/>
    <mergeCell ref="D47:D48"/>
    <mergeCell ref="D59:D60"/>
    <mergeCell ref="D63:D65"/>
    <mergeCell ref="E59:E60"/>
    <mergeCell ref="E63:E65"/>
  </mergeCells>
  <phoneticPr fontId="80" type="noConversion"/>
  <pageMargins left="0.70866141732283505" right="0.70866141732283505" top="0.74803149606299202" bottom="0.74803149606299202" header="0.31496062992126" footer="0.31496062992126"/>
  <pageSetup paperSize="9" orientation="portrait"/>
  <rowBreaks count="1" manualBreakCount="1">
    <brk id="39" max="5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Q88"/>
  <sheetViews>
    <sheetView showGridLines="0" topLeftCell="A70" workbookViewId="0">
      <selection activeCell="F79" sqref="F79"/>
    </sheetView>
  </sheetViews>
  <sheetFormatPr defaultColWidth="10.625" defaultRowHeight="24.75" customHeight="1"/>
  <cols>
    <col min="1" max="3" width="10.625" style="1"/>
    <col min="4" max="4" width="11.625" style="1" customWidth="1"/>
    <col min="5" max="5" width="12.75" style="1" customWidth="1"/>
    <col min="6" max="6" width="10.625" style="1"/>
    <col min="7" max="7" width="11.625" style="1" customWidth="1"/>
    <col min="8" max="13" width="10.625" style="1"/>
    <col min="14" max="17" width="10.625" style="1" customWidth="1"/>
    <col min="18" max="16384" width="10.625" style="1"/>
  </cols>
  <sheetData>
    <row r="1" spans="1:17" ht="28.5" customHeight="1">
      <c r="A1" s="432" t="s">
        <v>924</v>
      </c>
      <c r="B1" s="432"/>
      <c r="C1" s="432"/>
      <c r="D1" s="432"/>
      <c r="E1" s="432"/>
      <c r="F1" s="432"/>
      <c r="G1" s="432"/>
      <c r="H1" s="432"/>
    </row>
    <row r="2" spans="1:17" ht="28.5" customHeight="1">
      <c r="A2" s="121" t="s">
        <v>925</v>
      </c>
      <c r="B2" s="443"/>
      <c r="C2" s="443"/>
      <c r="D2" s="443"/>
      <c r="E2" s="121" t="s">
        <v>926</v>
      </c>
      <c r="F2" s="122"/>
      <c r="G2" s="122"/>
      <c r="H2" s="121"/>
    </row>
    <row r="3" spans="1:17" ht="24.75" customHeight="1">
      <c r="A3" s="123" t="s">
        <v>66</v>
      </c>
      <c r="B3" s="123"/>
      <c r="C3" s="123"/>
      <c r="D3" s="123"/>
      <c r="E3" s="123"/>
      <c r="F3" s="123"/>
      <c r="G3" s="123"/>
      <c r="H3" s="123"/>
    </row>
    <row r="4" spans="1:17" s="100" customFormat="1" ht="24.75" customHeight="1">
      <c r="A4" s="444" t="s">
        <v>927</v>
      </c>
      <c r="B4" s="444"/>
      <c r="C4" s="444"/>
      <c r="D4" s="124">
        <v>100</v>
      </c>
      <c r="E4" s="103" t="s">
        <v>315</v>
      </c>
      <c r="F4" s="115" t="s">
        <v>928</v>
      </c>
      <c r="G4" s="125" t="s">
        <v>929</v>
      </c>
      <c r="N4" s="100" t="s">
        <v>419</v>
      </c>
      <c r="O4" s="100">
        <v>210</v>
      </c>
      <c r="P4" s="100">
        <v>125</v>
      </c>
    </row>
    <row r="5" spans="1:17" s="100" customFormat="1" ht="24.75" customHeight="1">
      <c r="A5" s="444" t="s">
        <v>930</v>
      </c>
      <c r="B5" s="444"/>
      <c r="C5" s="444"/>
      <c r="D5" s="124">
        <v>100</v>
      </c>
      <c r="E5" s="103" t="s">
        <v>315</v>
      </c>
      <c r="F5" s="115" t="s">
        <v>931</v>
      </c>
      <c r="G5" s="125">
        <v>219</v>
      </c>
      <c r="H5" s="103" t="s">
        <v>437</v>
      </c>
      <c r="N5" s="100" t="s">
        <v>929</v>
      </c>
      <c r="O5" s="100">
        <v>310</v>
      </c>
      <c r="P5" s="100">
        <v>180</v>
      </c>
    </row>
    <row r="6" spans="1:17" s="100" customFormat="1" ht="24.75" customHeight="1">
      <c r="A6" s="444" t="s">
        <v>932</v>
      </c>
      <c r="B6" s="444"/>
      <c r="C6" s="444"/>
      <c r="D6" s="124">
        <v>2</v>
      </c>
      <c r="E6" s="107"/>
      <c r="F6" s="115" t="s">
        <v>933</v>
      </c>
      <c r="G6" s="125">
        <v>4</v>
      </c>
      <c r="H6" s="103" t="s">
        <v>437</v>
      </c>
      <c r="I6" s="103"/>
    </row>
    <row r="7" spans="1:17" s="100" customFormat="1" ht="24.75" customHeight="1">
      <c r="A7" s="115"/>
      <c r="B7" s="444" t="s">
        <v>934</v>
      </c>
      <c r="C7" s="444"/>
      <c r="D7" s="126">
        <f>D44</f>
        <v>0.85</v>
      </c>
      <c r="E7" s="107"/>
      <c r="F7" s="115" t="s">
        <v>935</v>
      </c>
      <c r="G7" s="117">
        <f>(SUM(D13:D16)+0.3)*1000</f>
        <v>3300</v>
      </c>
      <c r="H7" s="103" t="s">
        <v>437</v>
      </c>
      <c r="I7" s="103"/>
    </row>
    <row r="8" spans="1:17" s="100" customFormat="1" ht="24.75" customHeight="1">
      <c r="A8" s="115"/>
      <c r="B8" s="444" t="s">
        <v>936</v>
      </c>
      <c r="C8" s="444"/>
      <c r="D8" s="124">
        <v>15</v>
      </c>
      <c r="E8" s="444" t="s">
        <v>937</v>
      </c>
      <c r="F8" s="444"/>
      <c r="G8" s="125">
        <v>900</v>
      </c>
      <c r="H8" s="103" t="s">
        <v>437</v>
      </c>
      <c r="I8" s="103"/>
    </row>
    <row r="9" spans="1:17" s="100" customFormat="1" ht="24.75" customHeight="1">
      <c r="A9" s="115"/>
      <c r="B9" s="444" t="s">
        <v>938</v>
      </c>
      <c r="C9" s="444"/>
      <c r="D9" s="124">
        <v>100</v>
      </c>
      <c r="E9" s="103" t="s">
        <v>939</v>
      </c>
      <c r="F9" s="115" t="s">
        <v>940</v>
      </c>
      <c r="G9" s="125">
        <v>10</v>
      </c>
      <c r="H9" s="107" t="s">
        <v>437</v>
      </c>
    </row>
    <row r="10" spans="1:17" s="100" customFormat="1" ht="24.75" customHeight="1">
      <c r="A10" s="115"/>
      <c r="B10" s="444" t="s">
        <v>941</v>
      </c>
      <c r="C10" s="444"/>
      <c r="D10" s="124">
        <v>16</v>
      </c>
      <c r="E10" s="103" t="s">
        <v>942</v>
      </c>
      <c r="F10" s="115" t="s">
        <v>943</v>
      </c>
      <c r="G10" s="125" t="s">
        <v>929</v>
      </c>
    </row>
    <row r="11" spans="1:17" s="100" customFormat="1" ht="24.75" customHeight="1">
      <c r="A11" s="115"/>
      <c r="B11" s="444" t="s">
        <v>944</v>
      </c>
      <c r="C11" s="444"/>
      <c r="D11" s="124">
        <v>10</v>
      </c>
      <c r="E11" s="103" t="s">
        <v>945</v>
      </c>
      <c r="F11" s="115" t="s">
        <v>946</v>
      </c>
      <c r="G11" s="125">
        <v>4</v>
      </c>
    </row>
    <row r="12" spans="1:17" s="100" customFormat="1" ht="24.75" customHeight="1">
      <c r="A12" s="115"/>
      <c r="B12" s="444" t="s">
        <v>947</v>
      </c>
      <c r="C12" s="444"/>
      <c r="D12" s="124">
        <v>20</v>
      </c>
      <c r="E12" s="103"/>
    </row>
    <row r="13" spans="1:17" s="100" customFormat="1" ht="24.75" customHeight="1">
      <c r="A13" s="444" t="s">
        <v>948</v>
      </c>
      <c r="B13" s="444"/>
      <c r="C13" s="444"/>
      <c r="D13" s="124">
        <v>3</v>
      </c>
      <c r="E13" s="103" t="s">
        <v>36</v>
      </c>
    </row>
    <row r="14" spans="1:17" s="100" customFormat="1" ht="24.75" customHeight="1">
      <c r="A14" s="444" t="s">
        <v>949</v>
      </c>
      <c r="B14" s="444"/>
      <c r="C14" s="444"/>
      <c r="D14" s="124"/>
      <c r="E14" s="103" t="s">
        <v>36</v>
      </c>
    </row>
    <row r="15" spans="1:17" s="100" customFormat="1" ht="24.75" customHeight="1">
      <c r="A15" s="444" t="s">
        <v>950</v>
      </c>
      <c r="B15" s="444"/>
      <c r="C15" s="444"/>
      <c r="D15" s="124"/>
      <c r="E15" s="103" t="s">
        <v>36</v>
      </c>
    </row>
    <row r="16" spans="1:17" s="100" customFormat="1" ht="24.75" customHeight="1">
      <c r="A16" s="444" t="s">
        <v>951</v>
      </c>
      <c r="B16" s="444"/>
      <c r="C16" s="444"/>
      <c r="D16" s="124"/>
      <c r="E16" s="103" t="s">
        <v>36</v>
      </c>
      <c r="N16" s="100" t="s">
        <v>947</v>
      </c>
      <c r="O16" s="100" t="s">
        <v>354</v>
      </c>
      <c r="P16" s="100" t="s">
        <v>952</v>
      </c>
      <c r="Q16" s="100" t="s">
        <v>355</v>
      </c>
    </row>
    <row r="17" spans="1:17" ht="24.75" customHeight="1">
      <c r="E17" s="127"/>
      <c r="N17" s="1">
        <v>0</v>
      </c>
      <c r="O17" s="1">
        <v>0</v>
      </c>
      <c r="P17" s="1">
        <v>1</v>
      </c>
      <c r="Q17" s="1">
        <v>3.14</v>
      </c>
    </row>
    <row r="18" spans="1:17" ht="24.75" customHeight="1">
      <c r="A18" s="445" t="s">
        <v>953</v>
      </c>
      <c r="B18" s="445"/>
      <c r="C18" s="445"/>
      <c r="D18" s="127"/>
      <c r="N18" s="1">
        <v>2</v>
      </c>
      <c r="O18" s="1">
        <v>0.03</v>
      </c>
      <c r="P18" s="1">
        <v>1.1499999999999999</v>
      </c>
      <c r="Q18" s="1">
        <v>3.32</v>
      </c>
    </row>
    <row r="19" spans="1:17" s="100" customFormat="1" ht="24.75" customHeight="1">
      <c r="A19" s="371" t="s">
        <v>954</v>
      </c>
      <c r="B19" s="371"/>
      <c r="C19" s="371"/>
      <c r="F19" s="107"/>
      <c r="G19" s="107"/>
      <c r="N19" s="100">
        <v>4</v>
      </c>
      <c r="O19" s="100">
        <v>0.06</v>
      </c>
      <c r="P19" s="100">
        <v>1.25</v>
      </c>
      <c r="Q19" s="100">
        <v>3.51</v>
      </c>
    </row>
    <row r="20" spans="1:17" s="100" customFormat="1" ht="24.75" customHeight="1">
      <c r="F20" s="444" t="s">
        <v>697</v>
      </c>
      <c r="G20" s="446">
        <f>ROUND(0.65*G8/1000*F22*D13+0.314*G8/1000*D10*(D13^2)+D23,2)</f>
        <v>71.03</v>
      </c>
      <c r="H20" s="366" t="s">
        <v>315</v>
      </c>
      <c r="N20" s="100">
        <v>6</v>
      </c>
      <c r="O20" s="100">
        <v>0.1</v>
      </c>
      <c r="P20" s="100">
        <v>1.39</v>
      </c>
      <c r="Q20" s="100">
        <v>3.71</v>
      </c>
    </row>
    <row r="21" spans="1:17" s="100" customFormat="1" ht="24.75" customHeight="1">
      <c r="F21" s="444"/>
      <c r="G21" s="446"/>
      <c r="H21" s="366"/>
      <c r="N21" s="100">
        <v>8</v>
      </c>
      <c r="O21" s="100">
        <v>0.14000000000000001</v>
      </c>
      <c r="P21" s="100">
        <v>1.55</v>
      </c>
      <c r="Q21" s="100">
        <v>3.93</v>
      </c>
    </row>
    <row r="22" spans="1:17" s="100" customFormat="1" ht="24.75" customHeight="1">
      <c r="B22" s="371" t="s">
        <v>955</v>
      </c>
      <c r="C22" s="371"/>
      <c r="D22" s="371" t="str">
        <f>IF(D9&lt;89.9,"C+2*((90%-Sr)/10%)=","C-2*((90%-Sr)/10%)=")</f>
        <v>C-2*((90%-Sr)/10%)=</v>
      </c>
      <c r="E22" s="371"/>
      <c r="F22" s="103">
        <f>IF(D9&lt;89.999,D8+(2*((90-D9))/10),D8-(2*((90-D9))/10))</f>
        <v>17</v>
      </c>
      <c r="N22" s="100">
        <v>10</v>
      </c>
      <c r="O22" s="100">
        <v>0.18</v>
      </c>
      <c r="P22" s="100">
        <v>1.73</v>
      </c>
      <c r="Q22" s="100">
        <v>4.17</v>
      </c>
    </row>
    <row r="23" spans="1:17" s="100" customFormat="1" ht="24.75" customHeight="1">
      <c r="B23" s="371" t="s">
        <v>956</v>
      </c>
      <c r="C23" s="371"/>
      <c r="D23" s="117">
        <f>ROUND((G8/2)^2*PI()*0.00000785*G9*10/1000,2)</f>
        <v>0.5</v>
      </c>
      <c r="E23" s="103" t="s">
        <v>315</v>
      </c>
      <c r="N23" s="100">
        <v>12</v>
      </c>
      <c r="O23" s="100">
        <v>0.23</v>
      </c>
      <c r="P23" s="100">
        <v>1.94</v>
      </c>
      <c r="Q23" s="100">
        <v>4.42</v>
      </c>
    </row>
    <row r="24" spans="1:17" s="100" customFormat="1" ht="24.75" customHeight="1">
      <c r="A24" s="371" t="s">
        <v>957</v>
      </c>
      <c r="B24" s="371"/>
      <c r="C24" s="371"/>
      <c r="N24" s="100">
        <v>14</v>
      </c>
      <c r="O24" s="100">
        <v>0.28999999999999998</v>
      </c>
      <c r="P24" s="100">
        <v>2.17</v>
      </c>
      <c r="Q24" s="100">
        <v>4.6900000000000004</v>
      </c>
    </row>
    <row r="25" spans="1:17" s="100" customFormat="1" ht="24.75" customHeight="1">
      <c r="F25" s="444" t="s">
        <v>697</v>
      </c>
      <c r="G25" s="446">
        <f>IF(D14=0,0,ROUND(0.65*G8/1000*F27*D14+0.314*G8/1000*D10*(D14^2)+D28,2))</f>
        <v>0</v>
      </c>
      <c r="H25" s="366" t="s">
        <v>315</v>
      </c>
      <c r="N25" s="100">
        <v>16</v>
      </c>
      <c r="O25" s="100">
        <v>0.36</v>
      </c>
      <c r="P25" s="100">
        <v>2.4300000000000002</v>
      </c>
      <c r="Q25" s="100">
        <v>5</v>
      </c>
    </row>
    <row r="26" spans="1:17" s="100" customFormat="1" ht="24.75" customHeight="1">
      <c r="F26" s="444"/>
      <c r="G26" s="446"/>
      <c r="H26" s="366"/>
      <c r="N26" s="100">
        <v>18</v>
      </c>
      <c r="O26" s="100">
        <v>0.43</v>
      </c>
      <c r="P26" s="100">
        <v>2.72</v>
      </c>
      <c r="Q26" s="100">
        <v>5.31</v>
      </c>
    </row>
    <row r="27" spans="1:17" s="100" customFormat="1" ht="24.75" customHeight="1">
      <c r="B27" s="371" t="s">
        <v>955</v>
      </c>
      <c r="C27" s="371"/>
      <c r="D27" s="371" t="str">
        <f>IF(D16&lt;89.9,"C+2*((90%-Sr)/10%)=","C-2*((90%-Sr)/10%)=")</f>
        <v>C+2*((90%-Sr)/10%)=</v>
      </c>
      <c r="E27" s="371"/>
      <c r="F27" s="128">
        <f>IF(D14=0,0,IF(D9&lt;89.999,D8+(2*((90-D9))/10),D8-(2*((90-D9))/10)))</f>
        <v>0</v>
      </c>
      <c r="N27" s="100">
        <v>20</v>
      </c>
      <c r="O27" s="100">
        <v>0.51</v>
      </c>
      <c r="P27" s="100">
        <v>3.06</v>
      </c>
      <c r="Q27" s="100">
        <v>5.66</v>
      </c>
    </row>
    <row r="28" spans="1:17" s="100" customFormat="1" ht="24.75" customHeight="1">
      <c r="B28" s="371" t="s">
        <v>956</v>
      </c>
      <c r="C28" s="371"/>
      <c r="D28" s="117">
        <f>IF(D14=0,0,ROUND((G8/2)^2*PI()*0.00000785*G9*10/1000,2))</f>
        <v>0</v>
      </c>
      <c r="E28" s="103" t="s">
        <v>315</v>
      </c>
      <c r="N28" s="100">
        <v>22</v>
      </c>
      <c r="O28" s="100">
        <v>0.61</v>
      </c>
      <c r="P28" s="100">
        <v>3.44</v>
      </c>
      <c r="Q28" s="100">
        <v>6.04</v>
      </c>
    </row>
    <row r="29" spans="1:17" s="100" customFormat="1" ht="24.75" customHeight="1">
      <c r="A29" s="371" t="s">
        <v>958</v>
      </c>
      <c r="B29" s="371"/>
      <c r="C29" s="371"/>
      <c r="N29" s="100">
        <v>24</v>
      </c>
      <c r="O29" s="100">
        <v>0.8</v>
      </c>
      <c r="P29" s="100">
        <v>3.87</v>
      </c>
      <c r="Q29" s="100">
        <v>6.45</v>
      </c>
    </row>
    <row r="30" spans="1:17" s="100" customFormat="1" ht="24.75" customHeight="1">
      <c r="F30" s="444" t="s">
        <v>697</v>
      </c>
      <c r="G30" s="446">
        <f>IF(D15=0,0,ROUND(0.65*G8/1000*F32*D15+0.314*G8/1000*D10*(D15^2)+D33,2))</f>
        <v>0</v>
      </c>
      <c r="H30" s="366" t="s">
        <v>315</v>
      </c>
      <c r="N30" s="100">
        <v>26</v>
      </c>
      <c r="O30" s="100">
        <v>1.1000000000000001</v>
      </c>
      <c r="P30" s="100">
        <v>4.37</v>
      </c>
      <c r="Q30" s="100">
        <v>6.9</v>
      </c>
    </row>
    <row r="31" spans="1:17" s="100" customFormat="1" ht="24.75" customHeight="1">
      <c r="F31" s="444"/>
      <c r="G31" s="446"/>
      <c r="H31" s="366"/>
      <c r="N31" s="100">
        <v>28</v>
      </c>
      <c r="O31" s="100">
        <v>1.4</v>
      </c>
      <c r="P31" s="100">
        <v>4.93</v>
      </c>
      <c r="Q31" s="100">
        <v>7.4</v>
      </c>
    </row>
    <row r="32" spans="1:17" s="100" customFormat="1" ht="24.75" customHeight="1">
      <c r="B32" s="371" t="s">
        <v>955</v>
      </c>
      <c r="C32" s="371"/>
      <c r="D32" s="371" t="str">
        <f>IF(D22&lt;89.9,"C+2*((90%-Sr)/10%)=","C-2*((90%-Sr)/10%)=")</f>
        <v>C-2*((90%-Sr)/10%)=</v>
      </c>
      <c r="E32" s="371"/>
      <c r="F32" s="103">
        <f>IF(D15=0,0,IF(D9&lt;89.999,D8+(2*((90-D9))/10),D8-(2*((90-D9))/10)))</f>
        <v>0</v>
      </c>
      <c r="N32" s="100">
        <v>30</v>
      </c>
      <c r="O32" s="100">
        <v>1.9</v>
      </c>
      <c r="P32" s="100">
        <v>5.59</v>
      </c>
      <c r="Q32" s="100">
        <v>7.95</v>
      </c>
    </row>
    <row r="33" spans="1:8" s="100" customFormat="1" ht="24.75" customHeight="1">
      <c r="B33" s="371" t="s">
        <v>956</v>
      </c>
      <c r="C33" s="371"/>
      <c r="D33" s="117">
        <f>IF(D15=0,0,ROUND((G8/2)^2*PI()*0.00000785*G9*10/1000,2))</f>
        <v>0</v>
      </c>
      <c r="E33" s="103" t="s">
        <v>315</v>
      </c>
    </row>
    <row r="34" spans="1:8" s="100" customFormat="1" ht="24.75" customHeight="1">
      <c r="A34" s="371" t="s">
        <v>959</v>
      </c>
      <c r="B34" s="371"/>
      <c r="C34" s="371"/>
    </row>
    <row r="35" spans="1:8" s="100" customFormat="1" ht="24.75" customHeight="1">
      <c r="F35" s="444" t="s">
        <v>697</v>
      </c>
      <c r="G35" s="446">
        <f>IF(D16=0,0,ROUND(0.65*G8/1000*F37*D16+0.314*G8/1000*D10*(D16^2)+D38,2))</f>
        <v>0</v>
      </c>
      <c r="H35" s="366" t="s">
        <v>315</v>
      </c>
    </row>
    <row r="36" spans="1:8" s="100" customFormat="1" ht="24.75" customHeight="1">
      <c r="F36" s="444"/>
      <c r="G36" s="446"/>
      <c r="H36" s="366"/>
    </row>
    <row r="37" spans="1:8" s="100" customFormat="1" ht="24.75" customHeight="1">
      <c r="B37" s="371" t="s">
        <v>955</v>
      </c>
      <c r="C37" s="371"/>
      <c r="D37" s="371" t="str">
        <f>IF(D27&lt;89.9,"C+2*((90%-Sr)/10%)=","C-2*((90%-Sr)/10%)=")</f>
        <v>C-2*((90%-Sr)/10%)=</v>
      </c>
      <c r="E37" s="371"/>
      <c r="F37" s="103">
        <f>IF(D16=0,0,IF(D9&lt;89.999,D8+(2*((90-D9))/10),D8-(2*((90-D9))/10)))</f>
        <v>0</v>
      </c>
    </row>
    <row r="38" spans="1:8" s="100" customFormat="1" ht="24.75" customHeight="1">
      <c r="B38" s="371" t="s">
        <v>956</v>
      </c>
      <c r="C38" s="371"/>
      <c r="D38" s="100">
        <f>IF(D16=0,0,ROUND((G8/2)^2*PI()*0.00000785*G9*10/1000,2))</f>
        <v>0</v>
      </c>
      <c r="E38" s="103" t="s">
        <v>315</v>
      </c>
    </row>
    <row r="39" spans="1:8" s="100" customFormat="1" ht="24.75" customHeight="1">
      <c r="A39" s="445" t="s">
        <v>960</v>
      </c>
      <c r="B39" s="445"/>
      <c r="C39" s="445"/>
      <c r="D39" s="445"/>
    </row>
    <row r="40" spans="1:8" s="100" customFormat="1" ht="24.75" customHeight="1">
      <c r="B40" s="371" t="s">
        <v>961</v>
      </c>
      <c r="C40" s="371"/>
      <c r="D40" s="371" t="s">
        <v>962</v>
      </c>
      <c r="E40" s="371"/>
      <c r="F40" s="100">
        <f>ROUND(0.5*3.14*G7/1000*G5/1000*D11,2)</f>
        <v>11.35</v>
      </c>
      <c r="G40" s="103" t="s">
        <v>315</v>
      </c>
    </row>
    <row r="41" spans="1:8" s="100" customFormat="1" ht="24.75" customHeight="1">
      <c r="A41" s="445" t="s">
        <v>963</v>
      </c>
      <c r="B41" s="445"/>
      <c r="C41" s="445"/>
    </row>
    <row r="42" spans="1:8" s="100" customFormat="1" ht="24.75" customHeight="1">
      <c r="B42" s="444" t="s">
        <v>964</v>
      </c>
      <c r="D42" s="444" t="s">
        <v>697</v>
      </c>
      <c r="E42" s="371">
        <f>ROUND(D44*G11*(G20+G25+G30+G35+F40),1)</f>
        <v>280.10000000000002</v>
      </c>
      <c r="F42" s="107"/>
      <c r="G42" s="107"/>
    </row>
    <row r="43" spans="1:8" s="100" customFormat="1" ht="24.75" customHeight="1">
      <c r="B43" s="444"/>
      <c r="D43" s="444"/>
      <c r="E43" s="371"/>
      <c r="F43" s="107"/>
      <c r="G43" s="107"/>
    </row>
    <row r="44" spans="1:8" s="100" customFormat="1" ht="24.75" customHeight="1">
      <c r="B44" s="371" t="s">
        <v>965</v>
      </c>
      <c r="C44" s="371"/>
      <c r="D44" s="100">
        <f>IF(G11=1,1,IF(G11=4,0.85,IF(G11&gt;4,0.8,0.9)))</f>
        <v>0.85</v>
      </c>
    </row>
    <row r="45" spans="1:8" s="100" customFormat="1" ht="24.75" customHeight="1">
      <c r="B45" s="100" t="s">
        <v>966</v>
      </c>
      <c r="C45" s="100" t="str">
        <f>IF(E42&gt;E45,"&gt;","&lt;")</f>
        <v>&gt;</v>
      </c>
      <c r="D45" s="100" t="s">
        <v>967</v>
      </c>
      <c r="E45" s="100">
        <f>D6*D4</f>
        <v>200</v>
      </c>
      <c r="F45" s="103" t="s">
        <v>315</v>
      </c>
      <c r="G45" s="100" t="s">
        <v>968</v>
      </c>
      <c r="H45" s="119">
        <f>E42/E45</f>
        <v>1.4005000000000001</v>
      </c>
    </row>
    <row r="46" spans="1:8" s="100" customFormat="1" ht="24.75" customHeight="1">
      <c r="A46" s="446" t="str">
        <f>IF(E42&gt;E45,"上拔稳定满足设计要求","上拔稳定不满足设计要求")</f>
        <v>上拔稳定满足设计要求</v>
      </c>
      <c r="B46" s="446"/>
      <c r="C46" s="446"/>
      <c r="D46" s="446"/>
      <c r="E46" s="446"/>
      <c r="F46" s="446"/>
      <c r="G46" s="446"/>
      <c r="H46" s="446"/>
    </row>
    <row r="47" spans="1:8" ht="24.75" customHeight="1">
      <c r="A47" s="445" t="s">
        <v>969</v>
      </c>
      <c r="B47" s="445"/>
      <c r="C47" s="445"/>
    </row>
    <row r="48" spans="1:8" s="100" customFormat="1" ht="24.75" customHeight="1">
      <c r="B48" s="129"/>
      <c r="E48" s="444" t="s">
        <v>697</v>
      </c>
      <c r="F48" s="371">
        <f>ROUND(0.8*E50*D10*G8/1000+D10*E51*G7/1000+E52*D8,2)</f>
        <v>252.34</v>
      </c>
      <c r="G48" s="366" t="s">
        <v>945</v>
      </c>
    </row>
    <row r="49" spans="1:8" s="100" customFormat="1" ht="24.75" customHeight="1">
      <c r="E49" s="444"/>
      <c r="F49" s="371"/>
      <c r="G49" s="366"/>
    </row>
    <row r="50" spans="1:8" s="100" customFormat="1" ht="24.75" customHeight="1">
      <c r="B50" s="371" t="s">
        <v>970</v>
      </c>
      <c r="C50" s="371"/>
      <c r="D50" s="100" t="s">
        <v>971</v>
      </c>
      <c r="E50" s="100">
        <f>LOOKUP(D12,N17:O32)</f>
        <v>0.51</v>
      </c>
    </row>
    <row r="51" spans="1:8" s="100" customFormat="1" ht="24.75" customHeight="1">
      <c r="D51" s="100" t="s">
        <v>972</v>
      </c>
      <c r="E51" s="100">
        <f>LOOKUP(D12,N17:N32,P17:P32)</f>
        <v>3.06</v>
      </c>
    </row>
    <row r="52" spans="1:8" s="100" customFormat="1" ht="24.75" customHeight="1">
      <c r="D52" s="100" t="s">
        <v>973</v>
      </c>
      <c r="E52" s="100">
        <f>LOOKUP(D12,N17:N32,Q17:Q32)</f>
        <v>5.66</v>
      </c>
    </row>
    <row r="53" spans="1:8" s="100" customFormat="1" ht="24.75" customHeight="1">
      <c r="D53" s="100" t="s">
        <v>974</v>
      </c>
      <c r="E53" s="100">
        <v>0.75</v>
      </c>
    </row>
    <row r="54" spans="1:8" s="100" customFormat="1" ht="24.75" customHeight="1">
      <c r="D54" s="100" t="s">
        <v>975</v>
      </c>
      <c r="E54" s="100">
        <v>1</v>
      </c>
    </row>
    <row r="55" spans="1:8" s="100" customFormat="1" ht="24.75" customHeight="1">
      <c r="B55" s="371" t="s">
        <v>976</v>
      </c>
      <c r="C55" s="371"/>
      <c r="D55" s="371"/>
    </row>
    <row r="56" spans="1:8" s="100" customFormat="1" ht="24.75" customHeight="1">
      <c r="C56" s="129"/>
      <c r="D56" s="444" t="s">
        <v>697</v>
      </c>
      <c r="E56" s="371">
        <f>ROUND((D5/G11+1*D23)/((G8/1000/2)^2*PI()),0)</f>
        <v>40</v>
      </c>
      <c r="F56" s="366" t="s">
        <v>945</v>
      </c>
    </row>
    <row r="57" spans="1:8" s="100" customFormat="1" ht="24.75" customHeight="1">
      <c r="D57" s="444"/>
      <c r="E57" s="371"/>
      <c r="F57" s="366"/>
    </row>
    <row r="58" spans="1:8" s="100" customFormat="1" ht="24.75" customHeight="1">
      <c r="B58" s="115" t="s">
        <v>977</v>
      </c>
      <c r="C58" s="100" t="str">
        <f>IF(E56&lt;E58,"&lt;","&gt;")</f>
        <v>&lt;</v>
      </c>
      <c r="D58" s="103" t="s">
        <v>978</v>
      </c>
      <c r="E58" s="100">
        <f>ROUND(F48/E53,0)</f>
        <v>336</v>
      </c>
      <c r="F58" s="103" t="s">
        <v>945</v>
      </c>
      <c r="G58" s="100" t="s">
        <v>968</v>
      </c>
      <c r="H58" s="119">
        <f>E58/E56</f>
        <v>8.4</v>
      </c>
    </row>
    <row r="59" spans="1:8" s="100" customFormat="1" ht="24.75" customHeight="1">
      <c r="A59" s="446" t="str">
        <f>IF(E56&lt;E58,"下压稳定满足设计要求","下压稳定不满足设计要求")</f>
        <v>下压稳定满足设计要求</v>
      </c>
      <c r="B59" s="446"/>
      <c r="C59" s="446"/>
      <c r="D59" s="446"/>
      <c r="E59" s="446"/>
      <c r="F59" s="446"/>
      <c r="G59" s="446"/>
      <c r="H59" s="446"/>
    </row>
    <row r="60" spans="1:8" s="100" customFormat="1" ht="24.75" customHeight="1">
      <c r="A60" s="445" t="s">
        <v>979</v>
      </c>
      <c r="B60" s="445"/>
      <c r="C60" s="445"/>
    </row>
    <row r="61" spans="1:8" s="100" customFormat="1" ht="24.75" customHeight="1">
      <c r="A61" s="366" t="s">
        <v>980</v>
      </c>
      <c r="B61" s="366"/>
      <c r="C61" s="366"/>
      <c r="D61" s="366"/>
    </row>
    <row r="62" spans="1:8" ht="24.75" customHeight="1">
      <c r="A62" s="100"/>
      <c r="B62" s="100"/>
      <c r="C62" s="371" t="s">
        <v>981</v>
      </c>
      <c r="D62" s="371"/>
      <c r="E62" s="100">
        <f>ROUND(((G5^2-(G5-2*G6)^2)*0.95*PI())/4,0)</f>
        <v>2567</v>
      </c>
      <c r="F62" s="103" t="s">
        <v>313</v>
      </c>
      <c r="G62" s="100"/>
      <c r="H62" s="100"/>
    </row>
    <row r="63" spans="1:8" ht="24.75" customHeight="1">
      <c r="A63" s="100"/>
      <c r="B63" s="115" t="s">
        <v>982</v>
      </c>
      <c r="C63" s="100" t="s">
        <v>983</v>
      </c>
      <c r="D63" s="100">
        <f>ROUND(D5*1000/E62,)</f>
        <v>39</v>
      </c>
      <c r="E63" s="100"/>
      <c r="F63" s="100"/>
      <c r="G63" s="100"/>
      <c r="H63" s="100"/>
    </row>
    <row r="64" spans="1:8" ht="24.75" customHeight="1">
      <c r="A64" s="100"/>
      <c r="B64" s="100" t="s">
        <v>767</v>
      </c>
      <c r="C64" s="100" t="str">
        <f>IF(D63&gt;E64,"&gt;","&lt;")</f>
        <v>&lt;</v>
      </c>
      <c r="D64" s="100" t="s">
        <v>984</v>
      </c>
      <c r="E64" s="100">
        <f>LOOKUP(G4,N4:O5)</f>
        <v>310</v>
      </c>
      <c r="F64" s="100" t="s">
        <v>109</v>
      </c>
      <c r="G64" s="100" t="s">
        <v>968</v>
      </c>
      <c r="H64" s="119">
        <f>E64/D63</f>
        <v>7.9487179487179498</v>
      </c>
    </row>
    <row r="65" spans="1:8" ht="24.75" customHeight="1">
      <c r="A65" s="446" t="str">
        <f>IF(D63&lt;E64,"满足设计要求","不满足设计要求")</f>
        <v>满足设计要求</v>
      </c>
      <c r="B65" s="446"/>
      <c r="C65" s="446"/>
      <c r="D65" s="446"/>
      <c r="E65" s="446"/>
      <c r="F65" s="446"/>
      <c r="G65" s="446"/>
      <c r="H65" s="446"/>
    </row>
    <row r="66" spans="1:8" ht="24.75" customHeight="1">
      <c r="A66" s="107" t="s">
        <v>985</v>
      </c>
      <c r="B66" s="107"/>
      <c r="C66" s="107"/>
      <c r="D66" s="107"/>
    </row>
    <row r="67" spans="1:8" ht="24.75" customHeight="1">
      <c r="A67" s="100"/>
      <c r="B67" s="444" t="s">
        <v>986</v>
      </c>
      <c r="C67" s="444"/>
      <c r="D67" s="371" t="s">
        <v>987</v>
      </c>
      <c r="E67" s="371"/>
      <c r="F67" s="371"/>
      <c r="G67" s="100">
        <f>ROUND((G5^4-(G5-2*G6)^4)*PI()/16/G5,0)</f>
        <v>285234</v>
      </c>
      <c r="H67" s="103" t="s">
        <v>115</v>
      </c>
    </row>
    <row r="68" spans="1:8" ht="24.75" customHeight="1">
      <c r="A68" s="100"/>
      <c r="B68" s="100"/>
      <c r="C68" s="115" t="s">
        <v>988</v>
      </c>
      <c r="D68" s="100" t="s">
        <v>989</v>
      </c>
      <c r="E68" s="117">
        <f>ROUND(G67*E69/1000000,0)</f>
        <v>51</v>
      </c>
      <c r="F68" s="103" t="s">
        <v>400</v>
      </c>
      <c r="G68" s="100"/>
      <c r="H68" s="100"/>
    </row>
    <row r="69" spans="1:8" ht="24.75" customHeight="1">
      <c r="A69" s="100"/>
      <c r="B69" s="100"/>
      <c r="C69" s="100"/>
      <c r="D69" s="100" t="s">
        <v>990</v>
      </c>
      <c r="E69" s="117">
        <f>LOOKUP(G4,N4:N5,P4:P5)</f>
        <v>180</v>
      </c>
      <c r="F69" s="103"/>
      <c r="G69" s="100"/>
      <c r="H69" s="100"/>
    </row>
    <row r="70" spans="1:8" ht="24.75" customHeight="1">
      <c r="A70" s="100"/>
      <c r="B70" s="444" t="s">
        <v>991</v>
      </c>
      <c r="C70" s="444"/>
      <c r="D70" s="100" t="s">
        <v>992</v>
      </c>
      <c r="E70" s="117">
        <f>D71*D72*D73</f>
        <v>60</v>
      </c>
      <c r="F70" s="103" t="s">
        <v>400</v>
      </c>
      <c r="G70" s="100"/>
      <c r="H70" s="100"/>
    </row>
    <row r="71" spans="1:8" ht="24.75" customHeight="1">
      <c r="A71" s="100"/>
      <c r="B71" s="444" t="s">
        <v>993</v>
      </c>
      <c r="C71" s="444"/>
      <c r="D71" s="118">
        <v>1</v>
      </c>
      <c r="E71" s="100"/>
      <c r="F71" s="100"/>
      <c r="G71" s="100"/>
      <c r="H71" s="100"/>
    </row>
    <row r="72" spans="1:8" ht="24.75" customHeight="1">
      <c r="A72" s="444" t="s">
        <v>994</v>
      </c>
      <c r="B72" s="444"/>
      <c r="C72" s="444"/>
      <c r="D72" s="118">
        <v>30</v>
      </c>
      <c r="E72" s="103" t="s">
        <v>315</v>
      </c>
      <c r="F72" s="100"/>
      <c r="G72" s="100"/>
      <c r="H72" s="100"/>
    </row>
    <row r="73" spans="1:8" ht="24.75" customHeight="1">
      <c r="A73" s="444" t="s">
        <v>995</v>
      </c>
      <c r="B73" s="444"/>
      <c r="C73" s="444"/>
      <c r="D73" s="118">
        <v>2</v>
      </c>
      <c r="E73" s="103" t="s">
        <v>36</v>
      </c>
      <c r="F73" s="100"/>
      <c r="G73" s="100"/>
      <c r="H73" s="100"/>
    </row>
    <row r="74" spans="1:8" ht="24.75" customHeight="1">
      <c r="A74" s="100"/>
      <c r="B74" s="100" t="s">
        <v>996</v>
      </c>
      <c r="C74" s="100" t="e">
        <f>IF(E68&gt;E70,"&gt;",“&lt;”)</f>
        <v>#NAME?</v>
      </c>
      <c r="D74" s="100" t="s">
        <v>997</v>
      </c>
      <c r="E74" s="100"/>
      <c r="F74" s="100"/>
      <c r="G74" s="100" t="s">
        <v>968</v>
      </c>
      <c r="H74" s="119">
        <f>E68/E70</f>
        <v>0.85</v>
      </c>
    </row>
    <row r="75" spans="1:8" ht="24.75" customHeight="1">
      <c r="A75" s="446" t="str">
        <f>IF(E68&gt;E70,"满足设计要求","不满足设计要求")</f>
        <v>不满足设计要求</v>
      </c>
      <c r="B75" s="446"/>
      <c r="C75" s="446"/>
      <c r="D75" s="446"/>
      <c r="E75" s="446"/>
      <c r="F75" s="446"/>
      <c r="G75" s="446"/>
      <c r="H75" s="446"/>
    </row>
    <row r="76" spans="1:8" ht="24.75" customHeight="1">
      <c r="A76" s="445" t="s">
        <v>998</v>
      </c>
      <c r="B76" s="445"/>
      <c r="C76" s="445"/>
    </row>
    <row r="77" spans="1:8" ht="24.75" customHeight="1">
      <c r="A77" s="100"/>
      <c r="B77" s="107"/>
      <c r="C77" s="107" t="s">
        <v>999</v>
      </c>
      <c r="D77" s="100">
        <f>LOOKUP(G10,N4:N5,P4:P5)</f>
        <v>180</v>
      </c>
      <c r="E77" s="107" t="s">
        <v>109</v>
      </c>
      <c r="F77" s="100"/>
      <c r="G77" s="100"/>
      <c r="H77" s="100"/>
    </row>
    <row r="78" spans="1:8" ht="24.75" customHeight="1">
      <c r="A78" s="100"/>
      <c r="B78" s="444" t="s">
        <v>1000</v>
      </c>
      <c r="C78" s="444"/>
      <c r="D78" s="100">
        <f>E68</f>
        <v>51</v>
      </c>
      <c r="E78" s="103" t="s">
        <v>400</v>
      </c>
      <c r="F78" s="100"/>
      <c r="G78" s="100"/>
      <c r="H78" s="100"/>
    </row>
    <row r="79" spans="1:8" ht="24.75" customHeight="1">
      <c r="A79" s="100"/>
      <c r="B79" s="444" t="s">
        <v>1001</v>
      </c>
      <c r="C79" s="444"/>
      <c r="D79" s="371" t="s">
        <v>1002</v>
      </c>
      <c r="E79" s="371"/>
      <c r="F79" s="100">
        <f>ROUND(D78*1000*1000/D77/2/PI()/(G5/2)^2,1)</f>
        <v>3.8</v>
      </c>
      <c r="G79" s="103" t="s">
        <v>437</v>
      </c>
      <c r="H79" s="100"/>
    </row>
    <row r="80" spans="1:8" ht="24.75" customHeight="1">
      <c r="A80" s="100"/>
      <c r="B80" s="100" t="s">
        <v>1003</v>
      </c>
      <c r="C80" s="100" t="str">
        <f>IF(E80&gt;F79,"&lt;","&gt;")</f>
        <v>&lt;</v>
      </c>
      <c r="D80" s="115" t="s">
        <v>1004</v>
      </c>
      <c r="E80" s="103">
        <f>G9</f>
        <v>10</v>
      </c>
      <c r="F80" s="100"/>
      <c r="G80" s="100" t="s">
        <v>968</v>
      </c>
      <c r="H80" s="119">
        <f>E80/F79</f>
        <v>2.6315789473684199</v>
      </c>
    </row>
    <row r="81" spans="1:8" ht="24.75" customHeight="1">
      <c r="A81" s="446" t="str">
        <f>IF(E80&gt;F79,"满足设计要求","不满足设计要求")</f>
        <v>满足设计要求</v>
      </c>
      <c r="B81" s="446"/>
      <c r="C81" s="446"/>
      <c r="D81" s="446"/>
      <c r="E81" s="446"/>
      <c r="F81" s="446"/>
      <c r="G81" s="446"/>
      <c r="H81" s="446"/>
    </row>
    <row r="82" spans="1:8" ht="24.75" customHeight="1">
      <c r="A82" s="100"/>
      <c r="B82" s="100"/>
      <c r="C82" s="100"/>
      <c r="D82" s="100"/>
      <c r="E82" s="100"/>
      <c r="F82" s="100"/>
      <c r="G82" s="100"/>
      <c r="H82" s="100"/>
    </row>
    <row r="83" spans="1:8" ht="24.75" customHeight="1">
      <c r="A83" s="100"/>
      <c r="B83" s="100"/>
      <c r="C83" s="100"/>
      <c r="D83" s="100"/>
      <c r="E83" s="100"/>
      <c r="F83" s="100"/>
      <c r="G83" s="100"/>
      <c r="H83" s="100"/>
    </row>
    <row r="84" spans="1:8" ht="24.75" customHeight="1">
      <c r="A84" s="100"/>
      <c r="B84" s="100"/>
      <c r="C84" s="100"/>
      <c r="D84" s="100"/>
      <c r="E84" s="100"/>
      <c r="F84" s="100"/>
      <c r="G84" s="100"/>
      <c r="H84" s="100"/>
    </row>
    <row r="85" spans="1:8" ht="24.75" customHeight="1">
      <c r="A85" s="100"/>
      <c r="B85" s="100"/>
      <c r="C85" s="100"/>
      <c r="D85" s="100"/>
      <c r="E85" s="100"/>
      <c r="F85" s="100"/>
      <c r="G85" s="100"/>
      <c r="H85" s="100"/>
    </row>
    <row r="86" spans="1:8" ht="24.75" customHeight="1">
      <c r="A86" s="100"/>
      <c r="B86" s="100"/>
      <c r="C86" s="100"/>
      <c r="D86" s="100"/>
      <c r="E86" s="100"/>
      <c r="F86" s="100"/>
      <c r="G86" s="100"/>
      <c r="H86" s="100"/>
    </row>
    <row r="88" spans="1:8" ht="24.75" customHeight="1">
      <c r="A88" s="447" t="s">
        <v>1005</v>
      </c>
      <c r="B88" s="447"/>
      <c r="C88" s="447"/>
      <c r="D88" s="447"/>
      <c r="E88" s="447"/>
      <c r="F88" s="447"/>
      <c r="G88" s="447"/>
      <c r="H88" s="447"/>
    </row>
  </sheetData>
  <mergeCells count="81">
    <mergeCell ref="H20:H21"/>
    <mergeCell ref="H25:H26"/>
    <mergeCell ref="H30:H31"/>
    <mergeCell ref="H35:H36"/>
    <mergeCell ref="G20:G21"/>
    <mergeCell ref="G25:G26"/>
    <mergeCell ref="G30:G31"/>
    <mergeCell ref="G35:G36"/>
    <mergeCell ref="G48:G49"/>
    <mergeCell ref="F20:F21"/>
    <mergeCell ref="F25:F26"/>
    <mergeCell ref="F30:F31"/>
    <mergeCell ref="F35:F36"/>
    <mergeCell ref="F48:F49"/>
    <mergeCell ref="B79:C79"/>
    <mergeCell ref="D79:E79"/>
    <mergeCell ref="A81:H81"/>
    <mergeCell ref="A88:H88"/>
    <mergeCell ref="B42:B43"/>
    <mergeCell ref="D42:D43"/>
    <mergeCell ref="D56:D57"/>
    <mergeCell ref="E42:E43"/>
    <mergeCell ref="E48:E49"/>
    <mergeCell ref="E56:E57"/>
    <mergeCell ref="F56:F57"/>
    <mergeCell ref="A72:C72"/>
    <mergeCell ref="A73:C73"/>
    <mergeCell ref="A75:H75"/>
    <mergeCell ref="A76:C76"/>
    <mergeCell ref="B78:C78"/>
    <mergeCell ref="A65:H65"/>
    <mergeCell ref="B67:C67"/>
    <mergeCell ref="D67:F67"/>
    <mergeCell ref="B70:C70"/>
    <mergeCell ref="B71:C71"/>
    <mergeCell ref="B55:D55"/>
    <mergeCell ref="A59:H59"/>
    <mergeCell ref="A60:C60"/>
    <mergeCell ref="A61:D61"/>
    <mergeCell ref="C62:D62"/>
    <mergeCell ref="A41:C41"/>
    <mergeCell ref="B44:C44"/>
    <mergeCell ref="A46:H46"/>
    <mergeCell ref="A47:C47"/>
    <mergeCell ref="B50:C50"/>
    <mergeCell ref="B37:C37"/>
    <mergeCell ref="D37:E37"/>
    <mergeCell ref="B38:C38"/>
    <mergeCell ref="A39:D39"/>
    <mergeCell ref="B40:C40"/>
    <mergeCell ref="D40:E40"/>
    <mergeCell ref="A29:C29"/>
    <mergeCell ref="B32:C32"/>
    <mergeCell ref="D32:E32"/>
    <mergeCell ref="B33:C33"/>
    <mergeCell ref="A34:C34"/>
    <mergeCell ref="B23:C23"/>
    <mergeCell ref="A24:C24"/>
    <mergeCell ref="B27:C27"/>
    <mergeCell ref="D27:E27"/>
    <mergeCell ref="B28:C28"/>
    <mergeCell ref="A16:C16"/>
    <mergeCell ref="A18:C18"/>
    <mergeCell ref="A19:C19"/>
    <mergeCell ref="B22:C22"/>
    <mergeCell ref="D22:E22"/>
    <mergeCell ref="B11:C11"/>
    <mergeCell ref="B12:C12"/>
    <mergeCell ref="A13:C13"/>
    <mergeCell ref="A14:C14"/>
    <mergeCell ref="A15:C15"/>
    <mergeCell ref="B7:C7"/>
    <mergeCell ref="B8:C8"/>
    <mergeCell ref="E8:F8"/>
    <mergeCell ref="B9:C9"/>
    <mergeCell ref="B10:C10"/>
    <mergeCell ref="A1:H1"/>
    <mergeCell ref="B2:D2"/>
    <mergeCell ref="A4:C4"/>
    <mergeCell ref="A5:C5"/>
    <mergeCell ref="A6:C6"/>
  </mergeCells>
  <phoneticPr fontId="80" type="noConversion"/>
  <conditionalFormatting sqref="A46:H46">
    <cfRule type="containsText" dxfId="45" priority="8" operator="containsText" text="上拔稳定不满足设计要求">
      <formula>NOT(ISERROR(SEARCH("上拔稳定不满足设计要求",A46)))</formula>
    </cfRule>
  </conditionalFormatting>
  <conditionalFormatting sqref="A59:H59">
    <cfRule type="containsText" dxfId="44" priority="7" operator="containsText" text="下压稳定不满足设计要求">
      <formula>NOT(ISERROR(SEARCH("下压稳定不满足设计要求",A59)))</formula>
    </cfRule>
  </conditionalFormatting>
  <conditionalFormatting sqref="A65:H65 A75:H75 A81:H81">
    <cfRule type="containsText" dxfId="43" priority="6" operator="containsText" text="不满足设计要求">
      <formula>NOT(ISERROR(SEARCH("不满足设计要求",A65)))</formula>
    </cfRule>
  </conditionalFormatting>
  <conditionalFormatting sqref="H45">
    <cfRule type="cellIs" dxfId="42" priority="1" operator="lessThan">
      <formula>1</formula>
    </cfRule>
  </conditionalFormatting>
  <conditionalFormatting sqref="H58">
    <cfRule type="cellIs" dxfId="41" priority="2" operator="lessThan">
      <formula>1</formula>
    </cfRule>
  </conditionalFormatting>
  <conditionalFormatting sqref="H64">
    <cfRule type="cellIs" dxfId="40" priority="3" operator="lessThan">
      <formula>1</formula>
    </cfRule>
  </conditionalFormatting>
  <conditionalFormatting sqref="H74">
    <cfRule type="cellIs" dxfId="39" priority="4" operator="lessThan">
      <formula>1</formula>
    </cfRule>
  </conditionalFormatting>
  <conditionalFormatting sqref="H80">
    <cfRule type="cellIs" dxfId="38" priority="5" operator="lessThan">
      <formula>1</formula>
    </cfRule>
  </conditionalFormatting>
  <dataValidations count="1">
    <dataValidation type="list" allowBlank="1" showInputMessage="1" showErrorMessage="1" sqref="G4 G10" xr:uid="{00000000-0002-0000-1200-000000000000}">
      <formula1>$N$4:$N$5</formula1>
    </dataValidation>
  </dataValidations>
  <pageMargins left="0.7" right="0.7" top="0.75" bottom="0.75" header="0.3" footer="0.3"/>
  <pageSetup paperSize="9" orientation="portrait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I230"/>
  <sheetViews>
    <sheetView workbookViewId="0">
      <selection activeCell="F59" sqref="F59"/>
    </sheetView>
  </sheetViews>
  <sheetFormatPr defaultColWidth="9" defaultRowHeight="23.25" customHeight="1"/>
  <cols>
    <col min="1" max="1" width="21.375" style="1" customWidth="1"/>
    <col min="2" max="16384" width="9" style="1"/>
  </cols>
  <sheetData>
    <row r="1" spans="1:8" ht="23.25" customHeight="1">
      <c r="A1" s="448" t="s">
        <v>1006</v>
      </c>
      <c r="B1" s="448"/>
      <c r="C1" s="448"/>
      <c r="D1" s="448"/>
      <c r="E1" s="448"/>
      <c r="F1" s="448"/>
      <c r="G1" s="448"/>
      <c r="H1" s="448"/>
    </row>
    <row r="2" spans="1:8" ht="23.25" customHeight="1">
      <c r="A2" s="101" t="s">
        <v>925</v>
      </c>
      <c r="B2" s="449"/>
      <c r="C2" s="449"/>
      <c r="D2" s="449"/>
      <c r="E2" s="101" t="s">
        <v>1007</v>
      </c>
      <c r="F2" s="102"/>
      <c r="G2" s="102"/>
      <c r="H2" s="101"/>
    </row>
    <row r="3" spans="1:8" s="100" customFormat="1" ht="23.1" customHeight="1">
      <c r="A3" s="103" t="s">
        <v>66</v>
      </c>
    </row>
    <row r="4" spans="1:8" s="100" customFormat="1" ht="23.1" customHeight="1">
      <c r="A4" s="450" t="s">
        <v>1008</v>
      </c>
      <c r="B4" s="450"/>
      <c r="C4" s="104">
        <v>23</v>
      </c>
      <c r="D4" s="105" t="s">
        <v>315</v>
      </c>
    </row>
    <row r="5" spans="1:8" s="100" customFormat="1" ht="23.1" customHeight="1">
      <c r="A5" s="450" t="s">
        <v>1009</v>
      </c>
      <c r="B5" s="450"/>
      <c r="C5" s="104">
        <v>23</v>
      </c>
      <c r="D5" s="105" t="s">
        <v>315</v>
      </c>
    </row>
    <row r="6" spans="1:8" s="100" customFormat="1" ht="23.1" customHeight="1">
      <c r="A6" s="450" t="s">
        <v>1010</v>
      </c>
      <c r="B6" s="450"/>
      <c r="C6" s="104">
        <v>6</v>
      </c>
      <c r="D6" s="105" t="s">
        <v>315</v>
      </c>
    </row>
    <row r="7" spans="1:8" s="100" customFormat="1" ht="23.1" customHeight="1">
      <c r="A7" s="450" t="s">
        <v>932</v>
      </c>
      <c r="B7" s="450"/>
      <c r="C7" s="104">
        <v>2</v>
      </c>
      <c r="D7" s="105" t="s">
        <v>315</v>
      </c>
    </row>
    <row r="8" spans="1:8" s="100" customFormat="1" ht="23.1" customHeight="1">
      <c r="A8" s="450" t="s">
        <v>941</v>
      </c>
      <c r="B8" s="450"/>
      <c r="C8" s="104">
        <v>16</v>
      </c>
      <c r="D8" s="105" t="s">
        <v>942</v>
      </c>
    </row>
    <row r="9" spans="1:8" s="100" customFormat="1" ht="23.1" customHeight="1">
      <c r="A9" s="450" t="s">
        <v>1011</v>
      </c>
      <c r="B9" s="450"/>
      <c r="C9" s="104">
        <v>20</v>
      </c>
    </row>
    <row r="10" spans="1:8" s="100" customFormat="1" ht="23.1" customHeight="1">
      <c r="A10" s="450" t="s">
        <v>928</v>
      </c>
      <c r="B10" s="450"/>
      <c r="C10" s="106" t="s">
        <v>929</v>
      </c>
    </row>
    <row r="11" spans="1:8" s="100" customFormat="1" ht="23.1" customHeight="1">
      <c r="A11" s="450" t="s">
        <v>931</v>
      </c>
      <c r="B11" s="450"/>
      <c r="C11" s="106">
        <v>114</v>
      </c>
      <c r="D11" s="107" t="s">
        <v>437</v>
      </c>
    </row>
    <row r="12" spans="1:8" s="100" customFormat="1" ht="23.1" customHeight="1">
      <c r="A12" s="450" t="s">
        <v>933</v>
      </c>
      <c r="B12" s="450"/>
      <c r="C12" s="106">
        <v>5</v>
      </c>
      <c r="D12" s="107" t="s">
        <v>437</v>
      </c>
    </row>
    <row r="13" spans="1:8" s="100" customFormat="1" ht="23.1" customHeight="1">
      <c r="A13" s="450" t="s">
        <v>935</v>
      </c>
      <c r="B13" s="450"/>
      <c r="C13" s="108">
        <v>2.5</v>
      </c>
      <c r="D13" s="107" t="s">
        <v>36</v>
      </c>
      <c r="F13" s="109"/>
      <c r="G13" s="109"/>
    </row>
    <row r="14" spans="1:8" s="100" customFormat="1" ht="23.1" customHeight="1">
      <c r="A14" s="450" t="s">
        <v>937</v>
      </c>
      <c r="B14" s="450"/>
      <c r="C14" s="106">
        <v>350</v>
      </c>
      <c r="D14" s="107" t="s">
        <v>437</v>
      </c>
    </row>
    <row r="15" spans="1:8" s="100" customFormat="1" ht="23.1" customHeight="1">
      <c r="A15" s="450" t="s">
        <v>940</v>
      </c>
      <c r="B15" s="450"/>
      <c r="C15" s="106">
        <v>8</v>
      </c>
      <c r="D15" s="107" t="s">
        <v>437</v>
      </c>
    </row>
    <row r="16" spans="1:8" s="100" customFormat="1" ht="23.1" customHeight="1">
      <c r="A16" s="450" t="s">
        <v>943</v>
      </c>
      <c r="B16" s="450"/>
      <c r="C16" s="106" t="s">
        <v>929</v>
      </c>
    </row>
    <row r="17" spans="1:8" s="100" customFormat="1" ht="23.1" customHeight="1">
      <c r="A17" s="110" t="s">
        <v>1012</v>
      </c>
      <c r="B17" s="111"/>
      <c r="C17" s="110"/>
      <c r="D17" s="110"/>
      <c r="E17" s="110"/>
      <c r="F17" s="110"/>
      <c r="G17" s="110"/>
    </row>
    <row r="18" spans="1:8" s="100" customFormat="1" ht="23.1" customHeight="1">
      <c r="A18" s="110"/>
      <c r="B18" s="111" t="s">
        <v>1013</v>
      </c>
      <c r="C18" s="106">
        <v>120</v>
      </c>
      <c r="D18" s="110" t="s">
        <v>945</v>
      </c>
      <c r="E18" s="110"/>
      <c r="F18" s="110"/>
      <c r="G18" s="110"/>
    </row>
    <row r="19" spans="1:8" s="100" customFormat="1" ht="23.1" customHeight="1">
      <c r="A19" s="110"/>
      <c r="B19" s="111" t="s">
        <v>1014</v>
      </c>
      <c r="C19" s="112"/>
      <c r="D19" s="110"/>
      <c r="E19" s="110"/>
      <c r="F19" s="110"/>
      <c r="G19" s="110"/>
    </row>
    <row r="20" spans="1:8" s="100" customFormat="1" ht="23.1" customHeight="1">
      <c r="A20" s="110"/>
      <c r="B20" s="111" t="s">
        <v>1015</v>
      </c>
      <c r="C20" s="112"/>
      <c r="D20" s="110"/>
      <c r="E20" s="110"/>
      <c r="F20" s="110"/>
      <c r="G20" s="110"/>
    </row>
    <row r="21" spans="1:8" s="100" customFormat="1" ht="23.1" customHeight="1">
      <c r="A21" s="110"/>
      <c r="B21" s="111" t="s">
        <v>1016</v>
      </c>
      <c r="C21" s="113"/>
      <c r="D21" s="110" t="s">
        <v>1017</v>
      </c>
      <c r="E21" s="110"/>
      <c r="F21" s="110"/>
      <c r="G21" s="110"/>
    </row>
    <row r="22" spans="1:8" s="100" customFormat="1" ht="23.1" customHeight="1">
      <c r="A22" s="110"/>
      <c r="B22" s="111" t="s">
        <v>1018</v>
      </c>
      <c r="C22" s="451" t="s">
        <v>1019</v>
      </c>
      <c r="D22" s="451"/>
      <c r="E22" s="451"/>
      <c r="F22" s="113"/>
      <c r="G22" s="110" t="s">
        <v>945</v>
      </c>
    </row>
    <row r="23" spans="1:8" s="100" customFormat="1" ht="23.1" customHeight="1">
      <c r="A23" s="103" t="s">
        <v>1020</v>
      </c>
    </row>
    <row r="24" spans="1:8" s="100" customFormat="1" ht="23.1" customHeight="1">
      <c r="A24" s="115" t="s">
        <v>1021</v>
      </c>
      <c r="B24" s="371" t="s">
        <v>1022</v>
      </c>
      <c r="C24" s="371"/>
      <c r="D24" s="100">
        <f>(((TAN(RADIANS(C9))*C13*2+C14/1000)*0.5)^2+(C14/1000*0.5)^2+((TAN(RADIANS(C9))*C13*2+C14/1000)*0.5)*(0.5*C14/1000))*PI()*C13/3</f>
        <v>3.6587786634546098</v>
      </c>
      <c r="E24" s="100" t="s">
        <v>1023</v>
      </c>
    </row>
    <row r="25" spans="1:8" s="100" customFormat="1" ht="23.1" customHeight="1">
      <c r="A25" s="115" t="s">
        <v>1024</v>
      </c>
      <c r="B25" s="371" t="s">
        <v>1025</v>
      </c>
      <c r="C25" s="371"/>
      <c r="D25" s="100">
        <f>D24*C8</f>
        <v>58.540458615273799</v>
      </c>
      <c r="E25" s="103" t="s">
        <v>315</v>
      </c>
      <c r="G25" s="100" t="s">
        <v>1026</v>
      </c>
    </row>
    <row r="26" spans="1:8" s="100" customFormat="1" ht="23.1" customHeight="1">
      <c r="A26" s="115" t="s">
        <v>1027</v>
      </c>
      <c r="B26" s="100">
        <f>D25/C7</f>
        <v>29.2702293076369</v>
      </c>
      <c r="C26" s="100" t="str">
        <f>IF(B26&gt;E26,"&gt;","&lt;")</f>
        <v>&gt;</v>
      </c>
      <c r="D26" s="100" t="s">
        <v>1028</v>
      </c>
      <c r="E26" s="100">
        <f>C4</f>
        <v>23</v>
      </c>
      <c r="G26" s="100">
        <f>B26/E26</f>
        <v>1.27261866554943</v>
      </c>
    </row>
    <row r="27" spans="1:8" s="100" customFormat="1" ht="23.1" customHeight="1">
      <c r="A27" s="371" t="str">
        <f>IF(B26&gt;E26,"上拔稳定满足设计要求","上拔稳定不满足设计要求")</f>
        <v>上拔稳定满足设计要求</v>
      </c>
      <c r="B27" s="371"/>
      <c r="C27" s="371"/>
      <c r="D27" s="371"/>
      <c r="E27" s="371"/>
      <c r="F27" s="371"/>
      <c r="G27" s="371"/>
      <c r="H27" s="371"/>
    </row>
    <row r="28" spans="1:8" s="100" customFormat="1" ht="23.1" customHeight="1">
      <c r="A28" s="103" t="s">
        <v>1029</v>
      </c>
    </row>
    <row r="29" spans="1:8" s="100" customFormat="1" ht="23.1" customHeight="1">
      <c r="A29" s="115" t="s">
        <v>1030</v>
      </c>
      <c r="B29" s="100">
        <v>2</v>
      </c>
    </row>
    <row r="30" spans="1:8" s="100" customFormat="1" ht="23.1" customHeight="1">
      <c r="A30" s="115" t="s">
        <v>1031</v>
      </c>
      <c r="B30" s="100" t="s">
        <v>1032</v>
      </c>
      <c r="C30" s="100">
        <f>(C14/1000*0.5)^2*PI()</f>
        <v>9.6211275016187398E-2</v>
      </c>
      <c r="D30" s="103" t="s">
        <v>100</v>
      </c>
    </row>
    <row r="31" spans="1:8" s="100" customFormat="1" ht="23.1" customHeight="1">
      <c r="A31" s="115" t="s">
        <v>1033</v>
      </c>
      <c r="B31" s="100" t="s">
        <v>1034</v>
      </c>
      <c r="C31" s="100">
        <f>C5/C30</f>
        <v>239.05722064415301</v>
      </c>
      <c r="D31" s="103" t="s">
        <v>339</v>
      </c>
    </row>
    <row r="32" spans="1:8" s="100" customFormat="1" ht="23.1" customHeight="1"/>
    <row r="33" spans="1:9" s="100" customFormat="1" ht="23.1" customHeight="1">
      <c r="A33" s="103" t="s">
        <v>1035</v>
      </c>
    </row>
    <row r="34" spans="1:9" s="100" customFormat="1" ht="23.1" customHeight="1">
      <c r="A34" s="12" t="s">
        <v>1036</v>
      </c>
      <c r="B34" s="12"/>
      <c r="C34" s="12"/>
      <c r="D34" s="12"/>
      <c r="E34" s="12"/>
      <c r="F34" s="12"/>
      <c r="G34" s="12"/>
    </row>
    <row r="35" spans="1:9" s="100" customFormat="1" ht="23.1" customHeight="1">
      <c r="A35" s="452" t="s">
        <v>1037</v>
      </c>
      <c r="B35" s="452"/>
      <c r="C35" s="116">
        <v>12000</v>
      </c>
      <c r="D35" s="21" t="s">
        <v>1038</v>
      </c>
      <c r="E35" s="12"/>
      <c r="F35" s="12"/>
      <c r="G35" s="12"/>
    </row>
    <row r="36" spans="1:9" s="100" customFormat="1" ht="23.1" customHeight="1">
      <c r="A36" s="453" t="s">
        <v>1039</v>
      </c>
      <c r="B36" s="453"/>
      <c r="C36" s="12">
        <f>C35*C11/1000*C13</f>
        <v>3420</v>
      </c>
      <c r="D36" s="12"/>
      <c r="E36" s="12"/>
      <c r="F36" s="12"/>
      <c r="G36" s="12"/>
    </row>
    <row r="37" spans="1:9" s="100" customFormat="1" ht="23.1" customHeight="1">
      <c r="A37" s="453" t="s">
        <v>1040</v>
      </c>
      <c r="B37" s="453"/>
      <c r="C37" s="12">
        <f>(24*(0+3*C6*C13/4)/C36/C6^2)*1000</f>
        <v>2.1929824561403501</v>
      </c>
      <c r="D37" s="21" t="s">
        <v>1041</v>
      </c>
      <c r="E37" s="12"/>
      <c r="G37" s="12"/>
    </row>
    <row r="38" spans="1:9" s="100" customFormat="1" ht="23.1" customHeight="1">
      <c r="A38" s="12"/>
      <c r="B38" s="12" t="s">
        <v>1042</v>
      </c>
      <c r="C38" s="12">
        <f>(12*(3*0/C13+2*C6)*100)/(C36*C13^2)</f>
        <v>0.673684210526316</v>
      </c>
      <c r="D38" s="12" t="str">
        <f>IF(C38-E38&gt;0,"&gt;","&lt;")</f>
        <v>&gt;</v>
      </c>
      <c r="E38" s="12">
        <v>0.5</v>
      </c>
      <c r="F38" s="12" t="str">
        <f>IF(C38&lt;E38,"满足","不满足")</f>
        <v>不满足</v>
      </c>
      <c r="G38" s="12"/>
    </row>
    <row r="39" spans="1:9" s="100" customFormat="1" ht="23.1" customHeight="1">
      <c r="A39" s="103" t="s">
        <v>979</v>
      </c>
      <c r="B39" s="103"/>
      <c r="C39" s="103"/>
      <c r="D39" s="103"/>
      <c r="E39" s="103"/>
      <c r="F39" s="103"/>
      <c r="G39" s="103"/>
      <c r="H39" s="103"/>
      <c r="I39" s="103"/>
    </row>
    <row r="40" spans="1:9" s="100" customFormat="1" ht="23.1" customHeight="1">
      <c r="A40" s="444" t="s">
        <v>981</v>
      </c>
      <c r="B40" s="444"/>
      <c r="C40" s="103"/>
      <c r="D40" s="103">
        <f>C12*(C11-C12)*PI()</f>
        <v>1712.16799620644</v>
      </c>
      <c r="E40" s="103" t="s">
        <v>313</v>
      </c>
      <c r="F40" s="103"/>
      <c r="G40" s="103"/>
      <c r="H40" s="103"/>
      <c r="I40" s="103"/>
    </row>
    <row r="41" spans="1:9" s="100" customFormat="1" ht="23.1" customHeight="1">
      <c r="A41" s="444" t="s">
        <v>1043</v>
      </c>
      <c r="B41" s="444"/>
      <c r="C41" s="103" t="s">
        <v>1044</v>
      </c>
      <c r="D41" s="103">
        <f>C5*1.4*1000/D40</f>
        <v>18.806565752510199</v>
      </c>
      <c r="E41" s="103" t="s">
        <v>109</v>
      </c>
      <c r="F41" s="103"/>
      <c r="G41" s="103"/>
      <c r="H41" s="103"/>
      <c r="I41" s="103"/>
    </row>
    <row r="42" spans="1:9" s="100" customFormat="1" ht="23.1" customHeight="1">
      <c r="A42" s="103"/>
      <c r="B42" s="115" t="s">
        <v>1045</v>
      </c>
      <c r="C42" s="103" t="s">
        <v>1046</v>
      </c>
      <c r="D42" s="103">
        <f>C6*0.4</f>
        <v>2.4</v>
      </c>
      <c r="E42" s="103" t="s">
        <v>400</v>
      </c>
      <c r="F42" s="103"/>
      <c r="G42" s="103"/>
      <c r="H42" s="103"/>
      <c r="I42" s="103"/>
    </row>
    <row r="43" spans="1:9" s="100" customFormat="1" ht="23.1" customHeight="1">
      <c r="A43" s="103"/>
      <c r="B43" s="115" t="s">
        <v>1047</v>
      </c>
      <c r="C43" s="103">
        <f>PI()*C11^3*(1-((C11-2*C12)/C11)^4)/32</f>
        <v>44704.105620249698</v>
      </c>
      <c r="D43" s="103" t="s">
        <v>151</v>
      </c>
      <c r="E43" s="103"/>
      <c r="F43" s="103"/>
      <c r="G43" s="103"/>
      <c r="H43" s="103"/>
      <c r="I43" s="103"/>
    </row>
    <row r="44" spans="1:9" s="100" customFormat="1" ht="23.1" customHeight="1">
      <c r="A44" s="103"/>
      <c r="B44" s="115" t="s">
        <v>1048</v>
      </c>
      <c r="C44" s="103" t="s">
        <v>1049</v>
      </c>
      <c r="D44" s="103">
        <f>D42*1000000/C43</f>
        <v>53.686344166851399</v>
      </c>
      <c r="E44" s="103" t="s">
        <v>1050</v>
      </c>
      <c r="F44" s="103"/>
      <c r="G44" s="103"/>
      <c r="H44" s="103"/>
      <c r="I44" s="103"/>
    </row>
    <row r="45" spans="1:9" s="100" customFormat="1" ht="23.1" customHeight="1">
      <c r="A45" s="103"/>
      <c r="B45" s="115" t="s">
        <v>767</v>
      </c>
      <c r="C45" s="103" t="s">
        <v>1051</v>
      </c>
      <c r="D45" s="103">
        <f>D41+D44</f>
        <v>72.492909919361594</v>
      </c>
      <c r="E45" s="103" t="s">
        <v>109</v>
      </c>
      <c r="F45" s="103"/>
      <c r="G45" s="103"/>
      <c r="H45" s="103"/>
      <c r="I45" s="103"/>
    </row>
    <row r="46" spans="1:9" s="100" customFormat="1" ht="23.1" customHeight="1">
      <c r="A46" s="107" t="s">
        <v>1052</v>
      </c>
      <c r="B46" s="107"/>
      <c r="C46" s="107"/>
      <c r="D46" s="107"/>
      <c r="E46" s="1"/>
      <c r="F46" s="1"/>
      <c r="G46" s="1"/>
      <c r="H46" s="1"/>
      <c r="I46" s="103"/>
    </row>
    <row r="47" spans="1:9" s="100" customFormat="1" ht="23.25" customHeight="1">
      <c r="B47" s="444" t="s">
        <v>986</v>
      </c>
      <c r="C47" s="444"/>
      <c r="D47" s="371" t="s">
        <v>987</v>
      </c>
      <c r="E47" s="371"/>
      <c r="F47" s="371"/>
      <c r="G47" s="100">
        <f>ROUND((C11^4-(C11-2*C12)^4)*PI()/16/C11,0)</f>
        <v>89408</v>
      </c>
      <c r="H47" s="103" t="s">
        <v>115</v>
      </c>
      <c r="I47" s="103"/>
    </row>
    <row r="48" spans="1:9" s="100" customFormat="1" ht="23.25" customHeight="1">
      <c r="C48" s="115" t="s">
        <v>988</v>
      </c>
      <c r="D48" s="100" t="s">
        <v>989</v>
      </c>
      <c r="E48" s="117">
        <f>ROUND(G47*E49/1000000,0)</f>
        <v>16</v>
      </c>
      <c r="F48" s="103" t="s">
        <v>400</v>
      </c>
    </row>
    <row r="49" spans="1:8" s="100" customFormat="1" ht="23.25" customHeight="1">
      <c r="D49" s="100" t="s">
        <v>990</v>
      </c>
      <c r="E49" s="117">
        <v>180</v>
      </c>
      <c r="F49" s="103"/>
    </row>
    <row r="50" spans="1:8" s="100" customFormat="1" ht="23.25" customHeight="1">
      <c r="B50" s="444" t="s">
        <v>991</v>
      </c>
      <c r="C50" s="444"/>
      <c r="D50" s="100" t="s">
        <v>992</v>
      </c>
      <c r="E50" s="117">
        <f>D51*D52*D53</f>
        <v>0</v>
      </c>
      <c r="F50" s="103" t="s">
        <v>400</v>
      </c>
    </row>
    <row r="51" spans="1:8" s="100" customFormat="1" ht="23.25" customHeight="1">
      <c r="B51" s="444" t="s">
        <v>993</v>
      </c>
      <c r="C51" s="444"/>
      <c r="D51" s="118"/>
    </row>
    <row r="52" spans="1:8" s="100" customFormat="1" ht="23.25" customHeight="1">
      <c r="A52" s="444" t="s">
        <v>994</v>
      </c>
      <c r="B52" s="444"/>
      <c r="C52" s="444"/>
      <c r="D52" s="118"/>
      <c r="E52" s="103" t="s">
        <v>315</v>
      </c>
    </row>
    <row r="53" spans="1:8" s="100" customFormat="1" ht="23.25" customHeight="1">
      <c r="A53" s="444" t="s">
        <v>995</v>
      </c>
      <c r="B53" s="444"/>
      <c r="C53" s="444"/>
      <c r="D53" s="118"/>
      <c r="E53" s="103" t="s">
        <v>36</v>
      </c>
    </row>
    <row r="54" spans="1:8" s="100" customFormat="1" ht="23.25" customHeight="1">
      <c r="B54" s="100" t="s">
        <v>996</v>
      </c>
      <c r="D54" s="100" t="s">
        <v>997</v>
      </c>
      <c r="G54" s="100" t="s">
        <v>968</v>
      </c>
      <c r="H54" s="119" t="e">
        <f>E48/E50</f>
        <v>#DIV/0!</v>
      </c>
    </row>
    <row r="55" spans="1:8" s="100" customFormat="1" ht="23.25" customHeight="1">
      <c r="A55" s="446" t="str">
        <f>IF(E48&gt;E50,"满足设计要求","不满足设计要求")</f>
        <v>满足设计要求</v>
      </c>
      <c r="B55" s="446"/>
      <c r="C55" s="446"/>
      <c r="D55" s="446"/>
      <c r="E55" s="446"/>
      <c r="F55" s="446"/>
      <c r="G55" s="446"/>
      <c r="H55" s="446"/>
    </row>
    <row r="56" spans="1:8" s="100" customFormat="1" ht="23.25" customHeight="1">
      <c r="A56" s="445" t="s">
        <v>998</v>
      </c>
      <c r="B56" s="445"/>
      <c r="C56" s="445"/>
      <c r="D56" s="1"/>
      <c r="E56" s="1"/>
      <c r="F56" s="1"/>
      <c r="G56" s="1"/>
      <c r="H56" s="1"/>
    </row>
    <row r="57" spans="1:8" s="100" customFormat="1" ht="23.25" customHeight="1">
      <c r="B57" s="107"/>
      <c r="C57" s="107" t="s">
        <v>999</v>
      </c>
      <c r="D57" s="100">
        <v>180</v>
      </c>
      <c r="E57" s="107" t="s">
        <v>109</v>
      </c>
    </row>
    <row r="58" spans="1:8" s="100" customFormat="1" ht="23.25" customHeight="1">
      <c r="B58" s="444" t="s">
        <v>1000</v>
      </c>
      <c r="C58" s="444"/>
      <c r="D58" s="100">
        <f>E48</f>
        <v>16</v>
      </c>
      <c r="E58" s="103" t="s">
        <v>400</v>
      </c>
    </row>
    <row r="59" spans="1:8" s="100" customFormat="1" ht="23.25" customHeight="1">
      <c r="B59" s="444" t="s">
        <v>1001</v>
      </c>
      <c r="C59" s="444"/>
      <c r="D59" s="371" t="s">
        <v>1002</v>
      </c>
      <c r="E59" s="371"/>
      <c r="F59" s="100">
        <f>ROUND(D58*1000*1000/D57/2/PI()/(C11/2)^2,1)</f>
        <v>4.4000000000000004</v>
      </c>
      <c r="G59" s="103" t="s">
        <v>437</v>
      </c>
    </row>
    <row r="60" spans="1:8" s="100" customFormat="1" ht="23.25" customHeight="1">
      <c r="B60" s="100" t="s">
        <v>1003</v>
      </c>
      <c r="D60" s="115" t="s">
        <v>1004</v>
      </c>
      <c r="E60" s="103"/>
      <c r="G60" s="100" t="s">
        <v>968</v>
      </c>
      <c r="H60" s="119">
        <f>E60/F59</f>
        <v>0</v>
      </c>
    </row>
    <row r="61" spans="1:8" s="100" customFormat="1" ht="23.25" customHeight="1">
      <c r="A61" s="446"/>
      <c r="B61" s="446"/>
      <c r="C61" s="446"/>
      <c r="D61" s="446"/>
      <c r="E61" s="446"/>
      <c r="F61" s="446"/>
      <c r="G61" s="446"/>
      <c r="H61" s="446"/>
    </row>
    <row r="62" spans="1:8" s="100" customFormat="1" ht="23.25" customHeight="1"/>
    <row r="63" spans="1:8" s="100" customFormat="1" ht="23.25" customHeight="1"/>
    <row r="64" spans="1:8" s="100" customFormat="1" ht="23.25" customHeight="1"/>
    <row r="65" s="100" customFormat="1" ht="23.25" customHeight="1"/>
    <row r="66" s="100" customFormat="1" ht="23.25" customHeight="1"/>
    <row r="67" s="100" customFormat="1" ht="23.25" customHeight="1"/>
    <row r="68" s="100" customFormat="1" ht="23.25" customHeight="1"/>
    <row r="69" s="100" customFormat="1" ht="23.25" customHeight="1"/>
    <row r="70" s="100" customFormat="1" ht="23.25" customHeight="1"/>
    <row r="71" s="100" customFormat="1" ht="23.25" customHeight="1"/>
    <row r="72" s="100" customFormat="1" ht="23.25" customHeight="1"/>
    <row r="73" s="100" customFormat="1" ht="23.25" customHeight="1"/>
    <row r="74" s="100" customFormat="1" ht="23.25" customHeight="1"/>
    <row r="75" s="100" customFormat="1" ht="23.25" customHeight="1"/>
    <row r="76" s="100" customFormat="1" ht="23.25" customHeight="1"/>
    <row r="77" s="100" customFormat="1" ht="23.25" customHeight="1"/>
    <row r="78" s="100" customFormat="1" ht="23.25" customHeight="1"/>
    <row r="79" s="100" customFormat="1" ht="23.25" customHeight="1"/>
    <row r="80" s="100" customFormat="1" ht="23.25" customHeight="1"/>
    <row r="81" s="100" customFormat="1" ht="23.25" customHeight="1"/>
    <row r="82" s="100" customFormat="1" ht="23.25" customHeight="1"/>
    <row r="83" s="100" customFormat="1" ht="23.25" customHeight="1"/>
    <row r="84" s="100" customFormat="1" ht="23.25" customHeight="1"/>
    <row r="85" s="100" customFormat="1" ht="23.25" customHeight="1"/>
    <row r="86" s="100" customFormat="1" ht="23.25" customHeight="1"/>
    <row r="87" s="100" customFormat="1" ht="23.25" customHeight="1"/>
    <row r="88" s="100" customFormat="1" ht="23.25" customHeight="1"/>
    <row r="89" s="100" customFormat="1" ht="23.25" customHeight="1"/>
    <row r="90" s="100" customFormat="1" ht="23.25" customHeight="1"/>
    <row r="91" s="100" customFormat="1" ht="23.25" customHeight="1"/>
    <row r="92" s="100" customFormat="1" ht="23.25" customHeight="1"/>
    <row r="93" s="100" customFormat="1" ht="23.25" customHeight="1"/>
    <row r="94" s="100" customFormat="1" ht="23.25" customHeight="1"/>
    <row r="95" s="100" customFormat="1" ht="23.25" customHeight="1"/>
    <row r="96" s="100" customFormat="1" ht="23.25" customHeight="1"/>
    <row r="97" s="100" customFormat="1" ht="23.25" customHeight="1"/>
    <row r="98" s="100" customFormat="1" ht="23.25" customHeight="1"/>
    <row r="99" s="100" customFormat="1" ht="23.25" customHeight="1"/>
    <row r="100" s="100" customFormat="1" ht="23.25" customHeight="1"/>
    <row r="101" s="100" customFormat="1" ht="23.25" customHeight="1"/>
    <row r="102" s="100" customFormat="1" ht="23.25" customHeight="1"/>
    <row r="103" s="100" customFormat="1" ht="23.25" customHeight="1"/>
    <row r="104" s="100" customFormat="1" ht="23.25" customHeight="1"/>
    <row r="105" s="100" customFormat="1" ht="23.25" customHeight="1"/>
    <row r="106" s="100" customFormat="1" ht="23.25" customHeight="1"/>
    <row r="107" s="100" customFormat="1" ht="23.25" customHeight="1"/>
    <row r="108" s="100" customFormat="1" ht="23.25" customHeight="1"/>
    <row r="109" s="100" customFormat="1" ht="23.25" customHeight="1"/>
    <row r="110" s="100" customFormat="1" ht="23.25" customHeight="1"/>
    <row r="111" s="100" customFormat="1" ht="23.25" customHeight="1"/>
    <row r="112" s="100" customFormat="1" ht="23.25" customHeight="1"/>
    <row r="113" s="100" customFormat="1" ht="23.25" customHeight="1"/>
    <row r="114" s="100" customFormat="1" ht="23.25" customHeight="1"/>
    <row r="115" s="100" customFormat="1" ht="23.25" customHeight="1"/>
    <row r="116" s="100" customFormat="1" ht="23.25" customHeight="1"/>
    <row r="117" s="100" customFormat="1" ht="23.25" customHeight="1"/>
    <row r="118" s="100" customFormat="1" ht="23.25" customHeight="1"/>
    <row r="119" s="100" customFormat="1" ht="23.25" customHeight="1"/>
    <row r="120" s="100" customFormat="1" ht="23.25" customHeight="1"/>
    <row r="121" s="100" customFormat="1" ht="23.25" customHeight="1"/>
    <row r="122" s="100" customFormat="1" ht="23.25" customHeight="1"/>
    <row r="123" s="100" customFormat="1" ht="23.25" customHeight="1"/>
    <row r="124" s="100" customFormat="1" ht="23.25" customHeight="1"/>
    <row r="125" s="100" customFormat="1" ht="23.25" customHeight="1"/>
    <row r="126" s="100" customFormat="1" ht="23.25" customHeight="1"/>
    <row r="127" s="100" customFormat="1" ht="23.25" customHeight="1"/>
    <row r="128" s="100" customFormat="1" ht="23.25" customHeight="1"/>
    <row r="129" s="100" customFormat="1" ht="23.25" customHeight="1"/>
    <row r="130" s="100" customFormat="1" ht="23.25" customHeight="1"/>
    <row r="131" s="100" customFormat="1" ht="23.25" customHeight="1"/>
    <row r="132" s="100" customFormat="1" ht="23.25" customHeight="1"/>
    <row r="133" s="100" customFormat="1" ht="23.25" customHeight="1"/>
    <row r="134" s="100" customFormat="1" ht="23.25" customHeight="1"/>
    <row r="135" s="100" customFormat="1" ht="23.25" customHeight="1"/>
    <row r="136" s="100" customFormat="1" ht="23.25" customHeight="1"/>
    <row r="137" s="100" customFormat="1" ht="23.25" customHeight="1"/>
    <row r="138" s="100" customFormat="1" ht="23.25" customHeight="1"/>
    <row r="139" s="100" customFormat="1" ht="23.25" customHeight="1"/>
    <row r="140" s="100" customFormat="1" ht="23.25" customHeight="1"/>
    <row r="141" s="100" customFormat="1" ht="23.25" customHeight="1"/>
    <row r="142" s="100" customFormat="1" ht="23.25" customHeight="1"/>
    <row r="143" s="100" customFormat="1" ht="23.25" customHeight="1"/>
    <row r="144" s="100" customFormat="1" ht="23.25" customHeight="1"/>
    <row r="145" s="100" customFormat="1" ht="23.25" customHeight="1"/>
    <row r="146" s="100" customFormat="1" ht="23.25" customHeight="1"/>
    <row r="147" s="100" customFormat="1" ht="23.25" customHeight="1"/>
    <row r="148" s="100" customFormat="1" ht="23.25" customHeight="1"/>
    <row r="149" s="100" customFormat="1" ht="23.25" customHeight="1"/>
    <row r="150" s="100" customFormat="1" ht="23.25" customHeight="1"/>
    <row r="151" s="100" customFormat="1" ht="23.25" customHeight="1"/>
    <row r="152" s="100" customFormat="1" ht="23.25" customHeight="1"/>
    <row r="153" s="100" customFormat="1" ht="23.25" customHeight="1"/>
    <row r="154" s="100" customFormat="1" ht="23.25" customHeight="1"/>
    <row r="155" s="100" customFormat="1" ht="23.25" customHeight="1"/>
    <row r="156" s="100" customFormat="1" ht="23.25" customHeight="1"/>
    <row r="157" s="100" customFormat="1" ht="23.25" customHeight="1"/>
    <row r="158" s="100" customFormat="1" ht="23.25" customHeight="1"/>
    <row r="159" s="100" customFormat="1" ht="23.25" customHeight="1"/>
    <row r="160" s="100" customFormat="1" ht="23.25" customHeight="1"/>
    <row r="161" s="100" customFormat="1" ht="23.25" customHeight="1"/>
    <row r="162" s="100" customFormat="1" ht="23.25" customHeight="1"/>
    <row r="163" s="100" customFormat="1" ht="23.25" customHeight="1"/>
    <row r="164" s="100" customFormat="1" ht="23.25" customHeight="1"/>
    <row r="165" s="100" customFormat="1" ht="23.25" customHeight="1"/>
    <row r="166" s="100" customFormat="1" ht="23.25" customHeight="1"/>
    <row r="167" s="100" customFormat="1" ht="23.25" customHeight="1"/>
    <row r="168" s="100" customFormat="1" ht="23.25" customHeight="1"/>
    <row r="169" s="100" customFormat="1" ht="23.25" customHeight="1"/>
    <row r="170" s="100" customFormat="1" ht="23.25" customHeight="1"/>
    <row r="171" s="100" customFormat="1" ht="23.25" customHeight="1"/>
    <row r="172" s="100" customFormat="1" ht="23.25" customHeight="1"/>
    <row r="173" s="100" customFormat="1" ht="23.25" customHeight="1"/>
    <row r="174" s="100" customFormat="1" ht="23.25" customHeight="1"/>
    <row r="175" s="100" customFormat="1" ht="23.25" customHeight="1"/>
    <row r="176" s="100" customFormat="1" ht="23.25" customHeight="1"/>
    <row r="177" s="100" customFormat="1" ht="23.25" customHeight="1"/>
    <row r="178" s="100" customFormat="1" ht="23.25" customHeight="1"/>
    <row r="179" s="100" customFormat="1" ht="23.25" customHeight="1"/>
    <row r="180" s="100" customFormat="1" ht="23.25" customHeight="1"/>
    <row r="181" s="100" customFormat="1" ht="23.25" customHeight="1"/>
    <row r="182" s="100" customFormat="1" ht="23.25" customHeight="1"/>
    <row r="183" s="100" customFormat="1" ht="23.25" customHeight="1"/>
    <row r="184" s="100" customFormat="1" ht="23.25" customHeight="1"/>
    <row r="185" s="100" customFormat="1" ht="23.25" customHeight="1"/>
    <row r="186" s="100" customFormat="1" ht="23.25" customHeight="1"/>
    <row r="187" s="100" customFormat="1" ht="23.25" customHeight="1"/>
    <row r="188" s="100" customFormat="1" ht="23.25" customHeight="1"/>
    <row r="189" s="100" customFormat="1" ht="23.25" customHeight="1"/>
    <row r="190" s="100" customFormat="1" ht="23.25" customHeight="1"/>
    <row r="191" s="100" customFormat="1" ht="23.25" customHeight="1"/>
    <row r="192" s="100" customFormat="1" ht="23.25" customHeight="1"/>
    <row r="193" s="100" customFormat="1" ht="23.25" customHeight="1"/>
    <row r="194" s="100" customFormat="1" ht="23.25" customHeight="1"/>
    <row r="195" s="100" customFormat="1" ht="23.25" customHeight="1"/>
    <row r="196" s="100" customFormat="1" ht="23.25" customHeight="1"/>
    <row r="197" s="100" customFormat="1" ht="23.25" customHeight="1"/>
    <row r="198" s="100" customFormat="1" ht="23.25" customHeight="1"/>
    <row r="199" s="100" customFormat="1" ht="23.25" customHeight="1"/>
    <row r="200" s="100" customFormat="1" ht="23.25" customHeight="1"/>
    <row r="201" s="100" customFormat="1" ht="23.25" customHeight="1"/>
    <row r="202" s="100" customFormat="1" ht="23.25" customHeight="1"/>
    <row r="203" s="100" customFormat="1" ht="23.25" customHeight="1"/>
    <row r="204" s="100" customFormat="1" ht="23.25" customHeight="1"/>
    <row r="205" s="100" customFormat="1" ht="23.25" customHeight="1"/>
    <row r="206" s="100" customFormat="1" ht="23.25" customHeight="1"/>
    <row r="207" s="100" customFormat="1" ht="23.25" customHeight="1"/>
    <row r="208" s="100" customFormat="1" ht="23.25" customHeight="1"/>
    <row r="209" s="100" customFormat="1" ht="23.25" customHeight="1"/>
    <row r="210" s="100" customFormat="1" ht="23.25" customHeight="1"/>
    <row r="211" s="100" customFormat="1" ht="23.25" customHeight="1"/>
    <row r="212" s="100" customFormat="1" ht="23.25" customHeight="1"/>
    <row r="213" s="100" customFormat="1" ht="23.25" customHeight="1"/>
    <row r="214" s="100" customFormat="1" ht="23.25" customHeight="1"/>
    <row r="215" s="100" customFormat="1" ht="23.25" customHeight="1"/>
    <row r="216" s="100" customFormat="1" ht="23.25" customHeight="1"/>
    <row r="217" s="100" customFormat="1" ht="23.25" customHeight="1"/>
    <row r="218" s="100" customFormat="1" ht="23.25" customHeight="1"/>
    <row r="219" s="100" customFormat="1" ht="23.25" customHeight="1"/>
    <row r="220" s="100" customFormat="1" ht="23.25" customHeight="1"/>
    <row r="221" s="100" customFormat="1" ht="23.25" customHeight="1"/>
    <row r="222" s="100" customFormat="1" ht="23.25" customHeight="1"/>
    <row r="223" s="100" customFormat="1" ht="23.25" customHeight="1"/>
    <row r="224" s="100" customFormat="1" ht="23.25" customHeight="1"/>
    <row r="225" s="100" customFormat="1" ht="23.25" customHeight="1"/>
    <row r="226" s="100" customFormat="1" ht="23.25" customHeight="1"/>
    <row r="227" s="100" customFormat="1" ht="23.25" customHeight="1"/>
    <row r="228" s="100" customFormat="1" ht="23.25" customHeight="1"/>
    <row r="229" s="100" customFormat="1" ht="23.25" customHeight="1"/>
    <row r="230" s="100" customFormat="1" ht="23.25" customHeight="1"/>
  </sheetData>
  <mergeCells count="36">
    <mergeCell ref="A61:H61"/>
    <mergeCell ref="A55:H55"/>
    <mergeCell ref="A56:C56"/>
    <mergeCell ref="B58:C58"/>
    <mergeCell ref="B59:C59"/>
    <mergeCell ref="D59:E59"/>
    <mergeCell ref="D47:F47"/>
    <mergeCell ref="B50:C50"/>
    <mergeCell ref="B51:C51"/>
    <mergeCell ref="A52:C52"/>
    <mergeCell ref="A53:C53"/>
    <mergeCell ref="A36:B36"/>
    <mergeCell ref="A37:B37"/>
    <mergeCell ref="A40:B40"/>
    <mergeCell ref="A41:B41"/>
    <mergeCell ref="B47:C47"/>
    <mergeCell ref="C22:E22"/>
    <mergeCell ref="B24:C24"/>
    <mergeCell ref="B25:C25"/>
    <mergeCell ref="A27:H27"/>
    <mergeCell ref="A35:B35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:H1"/>
    <mergeCell ref="B2:D2"/>
    <mergeCell ref="A4:B4"/>
    <mergeCell ref="A5:B5"/>
    <mergeCell ref="A6:B6"/>
  </mergeCells>
  <phoneticPr fontId="80" type="noConversion"/>
  <conditionalFormatting sqref="A55:H55">
    <cfRule type="containsText" dxfId="37" priority="4" operator="containsText" text="不满足设计要求">
      <formula>NOT(ISERROR(SEARCH("不满足设计要求",A55)))</formula>
    </cfRule>
  </conditionalFormatting>
  <conditionalFormatting sqref="A61:H61">
    <cfRule type="containsText" dxfId="36" priority="2" operator="containsText" text="不满足设计要求">
      <formula>NOT(ISERROR(SEARCH("不满足设计要求",A61)))</formula>
    </cfRule>
  </conditionalFormatting>
  <conditionalFormatting sqref="H54">
    <cfRule type="cellIs" dxfId="35" priority="3" operator="lessThan">
      <formula>1</formula>
    </cfRule>
  </conditionalFormatting>
  <conditionalFormatting sqref="H60">
    <cfRule type="cellIs" dxfId="34" priority="1" operator="lessThan">
      <formula>1</formula>
    </cfRule>
  </conditionalFormatting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"/>
  <sheetViews>
    <sheetView workbookViewId="0">
      <selection activeCell="R31" sqref="R31"/>
    </sheetView>
  </sheetViews>
  <sheetFormatPr defaultColWidth="9" defaultRowHeight="14.25"/>
  <sheetData/>
  <phoneticPr fontId="80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AC101"/>
  <sheetViews>
    <sheetView topLeftCell="A8" workbookViewId="0">
      <selection activeCell="A8" sqref="A1:XFD1048576"/>
    </sheetView>
  </sheetViews>
  <sheetFormatPr defaultColWidth="17.5" defaultRowHeight="14.25"/>
  <cols>
    <col min="1" max="1" width="6" style="1" customWidth="1"/>
    <col min="2" max="3" width="10.875" style="1" customWidth="1"/>
    <col min="4" max="4" width="8.25" style="1" customWidth="1"/>
    <col min="5" max="6" width="12.375" style="1" customWidth="1"/>
    <col min="7" max="7" width="10" style="1" customWidth="1"/>
    <col min="8" max="11" width="10.625" style="1" customWidth="1"/>
    <col min="12" max="12" width="10.875" style="1" hidden="1" customWidth="1"/>
    <col min="13" max="13" width="11.5" style="1" hidden="1" customWidth="1"/>
    <col min="14" max="14" width="17.5" style="1" hidden="1" customWidth="1"/>
    <col min="15" max="15" width="6.625" style="1" hidden="1" customWidth="1"/>
    <col min="16" max="16" width="10.875" style="1" hidden="1" customWidth="1"/>
    <col min="17" max="17" width="14.125" style="1" hidden="1" customWidth="1"/>
    <col min="18" max="18" width="10.5" style="1" hidden="1" customWidth="1"/>
    <col min="19" max="19" width="8.5" style="1" hidden="1" customWidth="1"/>
    <col min="20" max="20" width="6.5" style="1" customWidth="1"/>
    <col min="21" max="21" width="9.875" style="1" customWidth="1"/>
    <col min="22" max="22" width="11.125" style="1" hidden="1" customWidth="1"/>
    <col min="23" max="29" width="17.5" style="1" hidden="1" customWidth="1"/>
    <col min="30" max="16384" width="17.5" style="1"/>
  </cols>
  <sheetData>
    <row r="1" spans="1:28" ht="35.25" customHeight="1">
      <c r="A1" s="454" t="s">
        <v>1053</v>
      </c>
      <c r="B1" s="454"/>
      <c r="C1" s="454"/>
      <c r="D1" s="454"/>
      <c r="E1" s="454"/>
      <c r="F1" s="454"/>
      <c r="G1" s="454"/>
      <c r="H1" s="454"/>
      <c r="I1" s="454"/>
      <c r="J1" s="13"/>
      <c r="K1" s="13"/>
      <c r="L1" s="13"/>
    </row>
    <row r="2" spans="1:28" ht="26.25" customHeight="1">
      <c r="A2" s="455" t="s">
        <v>1054</v>
      </c>
      <c r="B2" s="456"/>
      <c r="C2" s="16">
        <v>26428</v>
      </c>
      <c r="D2" s="15" t="s">
        <v>1055</v>
      </c>
      <c r="E2" s="16">
        <v>14.8</v>
      </c>
      <c r="F2" s="85" t="s">
        <v>1056</v>
      </c>
      <c r="G2" s="86">
        <f>(E4*PI()*E5^2/4)/(PI()*E3^2/4)/1000000</f>
        <v>4.8677867056245404E-3</v>
      </c>
      <c r="H2" s="17" t="s">
        <v>36</v>
      </c>
      <c r="I2" s="54" t="str">
        <f>IF(B72="位移不满足要求","位移不满足","")</f>
        <v/>
      </c>
      <c r="J2" s="55"/>
      <c r="K2" s="1" t="s">
        <v>853</v>
      </c>
      <c r="W2" s="457" t="s">
        <v>1057</v>
      </c>
      <c r="X2" s="457"/>
      <c r="AA2" s="457" t="s">
        <v>1057</v>
      </c>
      <c r="AB2" s="457"/>
    </row>
    <row r="3" spans="1:28" ht="26.25" customHeight="1">
      <c r="A3" s="458" t="s">
        <v>1058</v>
      </c>
      <c r="B3" s="452"/>
      <c r="C3" s="20">
        <v>898</v>
      </c>
      <c r="D3" s="12" t="s">
        <v>1059</v>
      </c>
      <c r="E3" s="20">
        <v>3.7</v>
      </c>
      <c r="F3" s="87" t="s">
        <v>1060</v>
      </c>
      <c r="G3" s="88">
        <v>0.05</v>
      </c>
      <c r="H3" s="21" t="s">
        <v>36</v>
      </c>
      <c r="I3" s="95" t="str">
        <f>IF(G85="不满足","强度超标","")</f>
        <v/>
      </c>
      <c r="J3" s="57"/>
      <c r="K3" s="1" t="s">
        <v>855</v>
      </c>
      <c r="W3" s="457" t="s">
        <v>1061</v>
      </c>
      <c r="X3" s="457"/>
      <c r="AA3" s="457" t="s">
        <v>1061</v>
      </c>
      <c r="AB3" s="457"/>
    </row>
    <row r="4" spans="1:28" ht="26.25" customHeight="1">
      <c r="A4" s="458" t="s">
        <v>1062</v>
      </c>
      <c r="B4" s="452"/>
      <c r="C4" s="20">
        <v>676</v>
      </c>
      <c r="D4" s="12" t="s">
        <v>1063</v>
      </c>
      <c r="E4" s="20">
        <v>85</v>
      </c>
      <c r="F4" s="87" t="s">
        <v>1064</v>
      </c>
      <c r="G4" s="20"/>
      <c r="H4" s="21" t="s">
        <v>36</v>
      </c>
      <c r="I4" s="95" t="str">
        <f>IF(G87="不满足","配筋率不够","")</f>
        <v/>
      </c>
    </row>
    <row r="5" spans="1:28" ht="26.25" customHeight="1">
      <c r="A5" s="459" t="s">
        <v>1065</v>
      </c>
      <c r="B5" s="460"/>
      <c r="C5" s="20" t="s">
        <v>1066</v>
      </c>
      <c r="D5" s="12" t="s">
        <v>1067</v>
      </c>
      <c r="E5" s="20">
        <v>28</v>
      </c>
      <c r="F5" s="87" t="s">
        <v>1068</v>
      </c>
      <c r="G5" s="20">
        <v>0.2</v>
      </c>
      <c r="H5" s="21" t="s">
        <v>36</v>
      </c>
      <c r="I5" s="56"/>
    </row>
    <row r="6" spans="1:28" ht="26.25" customHeight="1">
      <c r="A6" s="459" t="s">
        <v>1069</v>
      </c>
      <c r="B6" s="460"/>
      <c r="C6" s="20">
        <v>6</v>
      </c>
      <c r="D6" s="12" t="s">
        <v>1070</v>
      </c>
      <c r="E6" s="20" t="s">
        <v>1071</v>
      </c>
      <c r="F6" s="48" t="s">
        <v>1072</v>
      </c>
      <c r="G6" s="38">
        <f>(((E3-G3*2)*1000-8*2-E5)*PI())/E4</f>
        <v>131.42945266076799</v>
      </c>
      <c r="H6" s="21" t="s">
        <v>437</v>
      </c>
      <c r="I6" s="56"/>
    </row>
    <row r="7" spans="1:28" ht="26.25" customHeight="1">
      <c r="A7" s="461" t="s">
        <v>1073</v>
      </c>
      <c r="B7" s="462"/>
      <c r="C7" s="20" t="s">
        <v>1074</v>
      </c>
      <c r="D7" s="12"/>
      <c r="E7" s="12"/>
      <c r="F7" s="12"/>
      <c r="G7" s="12"/>
      <c r="I7" s="56"/>
    </row>
    <row r="8" spans="1:28" ht="26.25" customHeight="1">
      <c r="A8" s="24" t="s">
        <v>1075</v>
      </c>
      <c r="B8" s="25" t="s">
        <v>1076</v>
      </c>
      <c r="C8" s="25" t="s">
        <v>1077</v>
      </c>
      <c r="D8" s="25" t="s">
        <v>1078</v>
      </c>
      <c r="E8" s="26" t="s">
        <v>1079</v>
      </c>
      <c r="F8" s="26" t="s">
        <v>1080</v>
      </c>
      <c r="G8" s="26" t="s">
        <v>1081</v>
      </c>
      <c r="H8" s="26" t="s">
        <v>1082</v>
      </c>
      <c r="I8" s="58" t="s">
        <v>1083</v>
      </c>
      <c r="J8" s="59"/>
      <c r="K8" s="59"/>
      <c r="L8" s="59"/>
      <c r="O8" s="12"/>
      <c r="P8" s="12" t="s">
        <v>1084</v>
      </c>
      <c r="Q8" s="12" t="s">
        <v>1085</v>
      </c>
      <c r="R8" s="12" t="s">
        <v>1086</v>
      </c>
      <c r="S8" s="12" t="s">
        <v>1087</v>
      </c>
    </row>
    <row r="9" spans="1:28" ht="26.25" customHeight="1">
      <c r="A9" s="24">
        <v>1</v>
      </c>
      <c r="B9" s="27">
        <v>14.8</v>
      </c>
      <c r="C9" s="27"/>
      <c r="D9" s="27">
        <v>7.5</v>
      </c>
      <c r="E9" s="27">
        <v>14000</v>
      </c>
      <c r="F9" s="27">
        <v>64</v>
      </c>
      <c r="G9" s="27">
        <v>450</v>
      </c>
      <c r="H9" s="27">
        <v>0.83299999999999996</v>
      </c>
      <c r="I9" s="60">
        <v>0</v>
      </c>
      <c r="J9" s="61"/>
      <c r="K9" s="61"/>
      <c r="L9"/>
      <c r="O9" s="12" t="s">
        <v>1088</v>
      </c>
      <c r="P9" s="12">
        <v>9.6</v>
      </c>
      <c r="Q9" s="12">
        <v>11</v>
      </c>
      <c r="R9" s="12">
        <v>1.1000000000000001</v>
      </c>
      <c r="S9" s="12">
        <v>25500</v>
      </c>
      <c r="T9" s="12"/>
    </row>
    <row r="10" spans="1:28" ht="26.25" customHeight="1">
      <c r="A10" s="24">
        <v>2</v>
      </c>
      <c r="B10" s="27"/>
      <c r="C10" s="27"/>
      <c r="D10" s="27"/>
      <c r="E10" s="27"/>
      <c r="F10" s="27"/>
      <c r="G10" s="27"/>
      <c r="H10" s="27"/>
      <c r="I10" s="60"/>
      <c r="J10" s="61"/>
      <c r="K10" s="61"/>
      <c r="L10"/>
      <c r="M10" s="70" t="s">
        <v>1089</v>
      </c>
      <c r="N10" s="1">
        <f>(E9*B9^2+E10*(2*B9+B10)*B10)/(B9+B10)^2</f>
        <v>14000</v>
      </c>
      <c r="O10" s="12" t="s">
        <v>1066</v>
      </c>
      <c r="P10" s="12">
        <v>11.9</v>
      </c>
      <c r="Q10" s="12">
        <v>13.5</v>
      </c>
      <c r="R10" s="12">
        <v>1.27</v>
      </c>
      <c r="S10" s="12">
        <v>28000</v>
      </c>
      <c r="T10" s="12"/>
    </row>
    <row r="11" spans="1:28" ht="26.25" customHeight="1">
      <c r="A11" s="24">
        <v>3</v>
      </c>
      <c r="B11" s="27"/>
      <c r="C11" s="27"/>
      <c r="D11" s="27"/>
      <c r="E11" s="27"/>
      <c r="F11" s="27"/>
      <c r="G11" s="27"/>
      <c r="H11" s="27"/>
      <c r="I11" s="60"/>
      <c r="J11" s="61"/>
      <c r="K11" s="61"/>
      <c r="L11"/>
      <c r="M11" s="70" t="s">
        <v>1090</v>
      </c>
      <c r="N11" s="1">
        <f>((E9*B9^2+E10*(2*B9+B10)*B10)+E11*(2*B9+2*B10+B11)*B11)/(B9+B10+B11)^2</f>
        <v>14000</v>
      </c>
      <c r="O11" s="12" t="s">
        <v>1091</v>
      </c>
      <c r="P11" s="12">
        <v>14.3</v>
      </c>
      <c r="Q11" s="12">
        <v>16.5</v>
      </c>
      <c r="R11" s="12">
        <v>1.53</v>
      </c>
      <c r="S11" s="12">
        <v>30000</v>
      </c>
      <c r="T11" s="12"/>
    </row>
    <row r="12" spans="1:28" ht="26.25" customHeight="1">
      <c r="A12" s="24"/>
      <c r="B12" s="27"/>
      <c r="C12" s="27"/>
      <c r="D12" s="27"/>
      <c r="E12" s="27"/>
      <c r="F12" s="28"/>
      <c r="G12" s="27"/>
      <c r="H12" s="27"/>
      <c r="I12" s="60"/>
      <c r="J12" s="61"/>
      <c r="K12" s="61"/>
      <c r="L12"/>
      <c r="O12" s="12" t="s">
        <v>1092</v>
      </c>
      <c r="P12" s="12">
        <v>16.7</v>
      </c>
      <c r="Q12" s="12">
        <v>19</v>
      </c>
      <c r="R12" s="12">
        <v>1.57</v>
      </c>
      <c r="S12" s="12">
        <v>31500</v>
      </c>
      <c r="T12" s="12"/>
    </row>
    <row r="13" spans="1:28" ht="26.25" customHeight="1">
      <c r="A13" s="29" t="s">
        <v>1093</v>
      </c>
      <c r="B13" s="30">
        <f>SUM(B9:B12)</f>
        <v>14.8</v>
      </c>
      <c r="C13" s="31">
        <f>SUMPRODUCT(B9:B11,C9:C11)/SUM(B9:B11)</f>
        <v>0</v>
      </c>
      <c r="D13" s="32">
        <f>SUMPRODUCT(B9:B11,D9:D11)/SUM(B9:B11)</f>
        <v>7.5</v>
      </c>
      <c r="E13" s="33">
        <f>SUMPRODUCT($B$9:$B$12,E9:E12)/SUM($B$9:$B$12)</f>
        <v>14000</v>
      </c>
      <c r="F13" s="34" t="s">
        <v>1094</v>
      </c>
      <c r="G13" s="35">
        <f>SUM(G9:G12)</f>
        <v>450</v>
      </c>
      <c r="H13" s="35" t="s">
        <v>1094</v>
      </c>
      <c r="I13" s="62" t="s">
        <v>1094</v>
      </c>
      <c r="J13" s="63"/>
      <c r="K13" s="63"/>
      <c r="L13"/>
      <c r="N13" s="12"/>
      <c r="O13" s="12" t="s">
        <v>1095</v>
      </c>
      <c r="P13" s="12">
        <v>19.100000000000001</v>
      </c>
      <c r="Q13" s="12">
        <v>21.5</v>
      </c>
      <c r="R13" s="12">
        <v>1.71</v>
      </c>
      <c r="S13" s="12">
        <v>32500</v>
      </c>
      <c r="T13" s="12"/>
      <c r="U13" s="12"/>
    </row>
    <row r="14" spans="1:28" ht="21.75" customHeight="1">
      <c r="A14" s="463" t="str">
        <f>IF(B13=E2,"","桩与入土深度不符")</f>
        <v/>
      </c>
      <c r="B14" s="464"/>
      <c r="C14" s="464"/>
      <c r="D14" s="464"/>
      <c r="E14" s="464"/>
      <c r="F14" s="464"/>
      <c r="G14" s="464"/>
      <c r="H14" s="464"/>
      <c r="I14" s="465"/>
      <c r="J14" s="64"/>
      <c r="K14" s="64"/>
      <c r="L14"/>
      <c r="N14" s="12"/>
      <c r="O14" s="12"/>
      <c r="P14" s="12"/>
      <c r="Q14" s="12"/>
      <c r="R14" s="12"/>
      <c r="S14" s="12"/>
      <c r="T14" s="12"/>
      <c r="U14" s="12"/>
      <c r="X14" s="1" t="s">
        <v>1096</v>
      </c>
      <c r="Y14" s="1">
        <v>10</v>
      </c>
    </row>
    <row r="15" spans="1:28" ht="26.25" customHeight="1">
      <c r="A15" s="36" t="s">
        <v>1097</v>
      </c>
      <c r="B15" s="37" t="s">
        <v>1098</v>
      </c>
      <c r="C15" s="37"/>
      <c r="I15" s="56"/>
      <c r="N15" s="12"/>
      <c r="O15" s="12"/>
      <c r="P15" s="12" t="s">
        <v>1099</v>
      </c>
      <c r="Q15" s="12"/>
      <c r="R15" s="12" t="s">
        <v>1100</v>
      </c>
      <c r="S15" s="12"/>
      <c r="T15" s="12"/>
      <c r="U15" s="12"/>
      <c r="X15" s="39" t="s">
        <v>1101</v>
      </c>
      <c r="Y15" s="77">
        <f>IF(Y16/1000&gt;1,0.9*(Y16/1000+1),0.9*(1.5*Y16/1000+0.5))</f>
        <v>1.98</v>
      </c>
    </row>
    <row r="16" spans="1:28" ht="26.25" customHeight="1">
      <c r="A16" s="36"/>
      <c r="B16" s="37"/>
      <c r="C16" s="37" t="s">
        <v>1102</v>
      </c>
      <c r="D16" s="89">
        <f>2*(E3+1)</f>
        <v>9.4</v>
      </c>
      <c r="I16" s="56"/>
      <c r="N16" s="12"/>
      <c r="O16" s="12" t="s">
        <v>1103</v>
      </c>
      <c r="P16" s="12">
        <v>210</v>
      </c>
      <c r="Q16" s="12"/>
      <c r="R16" s="12">
        <v>210000</v>
      </c>
      <c r="S16" s="12"/>
      <c r="T16" s="12"/>
      <c r="U16" s="12"/>
      <c r="X16" s="1" t="s">
        <v>1104</v>
      </c>
      <c r="Y16" s="1">
        <v>1200</v>
      </c>
    </row>
    <row r="17" spans="1:25" ht="26.25" customHeight="1">
      <c r="A17" s="23"/>
      <c r="C17" s="39" t="s">
        <v>1105</v>
      </c>
      <c r="D17" s="38">
        <f>IF(C5="","",LOOKUP(C5,O9:O13,S9:S13))</f>
        <v>28000</v>
      </c>
      <c r="E17" s="40" t="s">
        <v>1106</v>
      </c>
      <c r="G17" s="39"/>
      <c r="H17" s="39"/>
      <c r="I17" s="56"/>
      <c r="N17" s="12"/>
      <c r="O17" s="12" t="s">
        <v>1107</v>
      </c>
      <c r="P17" s="12">
        <v>300</v>
      </c>
      <c r="Q17" s="12"/>
      <c r="R17" s="12">
        <v>200000</v>
      </c>
      <c r="S17" s="12"/>
      <c r="T17" s="12"/>
      <c r="U17" s="12"/>
      <c r="X17" s="1" t="s">
        <v>1108</v>
      </c>
      <c r="Y17" s="1">
        <v>10</v>
      </c>
    </row>
    <row r="18" spans="1:25" ht="26.25" customHeight="1">
      <c r="A18" s="23"/>
      <c r="C18" s="39" t="s">
        <v>1109</v>
      </c>
      <c r="D18" s="38">
        <f>IF(E6="","",LOOKUP(E6,O16:O18,R16:R18))</f>
        <v>200000</v>
      </c>
      <c r="E18" s="40" t="s">
        <v>1106</v>
      </c>
      <c r="G18" s="39"/>
      <c r="H18" s="39"/>
      <c r="I18" s="56"/>
      <c r="N18" s="12"/>
      <c r="O18" s="12" t="s">
        <v>1071</v>
      </c>
      <c r="P18" s="12">
        <v>360</v>
      </c>
      <c r="Q18" s="12"/>
      <c r="R18" s="12">
        <v>200000</v>
      </c>
      <c r="S18" s="12"/>
      <c r="T18" s="12"/>
      <c r="U18" s="12"/>
      <c r="X18" s="39" t="s">
        <v>1110</v>
      </c>
      <c r="Y18" s="38">
        <v>200000</v>
      </c>
    </row>
    <row r="19" spans="1:25" ht="26.25" customHeight="1">
      <c r="A19" s="23"/>
      <c r="B19" s="39"/>
      <c r="C19" s="39" t="s">
        <v>1111</v>
      </c>
      <c r="D19" s="38">
        <f>D18/D17</f>
        <v>7.1428571428571397</v>
      </c>
      <c r="E19" s="12"/>
      <c r="G19" s="39"/>
      <c r="H19" s="39"/>
      <c r="I19" s="56"/>
      <c r="N19" s="12"/>
      <c r="O19" s="12"/>
      <c r="P19" s="12"/>
      <c r="Q19" s="12"/>
      <c r="R19" s="12"/>
      <c r="S19" s="12"/>
      <c r="T19" s="12"/>
      <c r="U19" s="12"/>
      <c r="X19" s="1" t="s">
        <v>1112</v>
      </c>
      <c r="Y19" s="1">
        <f>PI()*(Y16^4-(Y16-Y17*2)^4)/64</f>
        <v>6618071230.0706196</v>
      </c>
    </row>
    <row r="20" spans="1:25" ht="26.25" customHeight="1">
      <c r="A20" s="23"/>
      <c r="B20" s="39"/>
      <c r="C20" s="39" t="s">
        <v>1113</v>
      </c>
      <c r="D20" s="38">
        <f>(PI()*E3)*(E3^2+2*(D19-1)*G2*(E3-2*G3)^2)/32</f>
        <v>5.2543856513552996</v>
      </c>
      <c r="E20" s="41" t="s">
        <v>1114</v>
      </c>
      <c r="G20" s="39"/>
      <c r="H20" s="39"/>
      <c r="I20" s="56"/>
      <c r="N20" s="12"/>
      <c r="O20" s="12"/>
      <c r="P20" s="12"/>
      <c r="Q20" s="12"/>
      <c r="R20" s="12"/>
      <c r="S20" s="12"/>
      <c r="T20" s="12"/>
      <c r="U20" s="12"/>
      <c r="Y20" s="1">
        <f>(Y18*Y19/(E13*1000000000)/Y15)^0.2</f>
        <v>2.16667434689893</v>
      </c>
    </row>
    <row r="21" spans="1:25" ht="26.25" customHeight="1">
      <c r="A21" s="23"/>
      <c r="B21" s="39"/>
      <c r="C21" s="39" t="s">
        <v>1115</v>
      </c>
      <c r="D21" s="38">
        <f>D20*(E3-2*G3)/2</f>
        <v>9.4578941724395396</v>
      </c>
      <c r="E21" s="41" t="s">
        <v>1116</v>
      </c>
      <c r="I21" s="56"/>
      <c r="N21" s="12"/>
      <c r="O21" s="12"/>
      <c r="P21" s="12"/>
      <c r="Q21" s="12"/>
      <c r="R21" s="12"/>
      <c r="S21" s="12"/>
      <c r="T21" s="12"/>
      <c r="U21" s="12"/>
      <c r="X21" s="1">
        <f>Y14/Y20</f>
        <v>4.6153682551845296</v>
      </c>
    </row>
    <row r="22" spans="1:25" ht="26.25" customHeight="1">
      <c r="A22" s="23"/>
      <c r="B22" s="39"/>
      <c r="C22" s="39" t="s">
        <v>1117</v>
      </c>
      <c r="D22" s="38">
        <f>IF(C7="直线杆",0.85*D17*D21*1000,0.667*D17*D21*1000)</f>
        <v>176635631.56448099</v>
      </c>
      <c r="E22" s="41" t="s">
        <v>1118</v>
      </c>
      <c r="I22" s="56"/>
      <c r="N22" s="12"/>
      <c r="O22" s="12"/>
      <c r="P22" s="12"/>
      <c r="Q22" s="12"/>
      <c r="R22" s="12"/>
      <c r="S22" s="12"/>
      <c r="T22" s="12"/>
      <c r="U22" s="12"/>
    </row>
    <row r="23" spans="1:25" ht="24.75" customHeight="1">
      <c r="A23" s="23"/>
      <c r="B23" s="39"/>
      <c r="C23" s="39" t="s">
        <v>1119</v>
      </c>
      <c r="D23" s="77">
        <f>E13</f>
        <v>14000</v>
      </c>
      <c r="E23" s="21" t="s">
        <v>1038</v>
      </c>
      <c r="I23" s="56"/>
      <c r="N23" s="12"/>
      <c r="O23" s="12"/>
      <c r="P23" s="12"/>
      <c r="Q23" s="12"/>
      <c r="R23" s="12"/>
      <c r="S23" s="12"/>
      <c r="T23" s="12"/>
      <c r="U23" s="12"/>
    </row>
    <row r="24" spans="1:25" ht="24.75" customHeight="1">
      <c r="A24" s="23"/>
      <c r="C24" s="39" t="s">
        <v>1101</v>
      </c>
      <c r="D24" s="77">
        <f>IF(E3&gt;1,0.9*(E3+1),0.9*(1.5*E3+0.5))</f>
        <v>4.2300000000000004</v>
      </c>
      <c r="E24" s="42" t="s">
        <v>36</v>
      </c>
      <c r="I24" s="56"/>
      <c r="N24" s="12"/>
      <c r="O24" s="12"/>
      <c r="P24" s="12"/>
      <c r="Q24" s="12"/>
      <c r="R24" s="12"/>
      <c r="S24" s="12"/>
      <c r="T24" s="12"/>
      <c r="U24" s="12"/>
    </row>
    <row r="25" spans="1:25" ht="24.75" customHeight="1">
      <c r="A25" s="23"/>
      <c r="C25" s="39" t="s">
        <v>1120</v>
      </c>
      <c r="D25" s="77">
        <f>(D24*D23/D22)^0.2</f>
        <v>0.20187289795362801</v>
      </c>
      <c r="I25" s="56"/>
      <c r="N25" s="12"/>
      <c r="O25" s="12"/>
      <c r="P25" s="12"/>
      <c r="Q25" s="12"/>
      <c r="R25" s="12"/>
      <c r="S25" s="12"/>
      <c r="T25" s="12"/>
      <c r="U25" s="12"/>
    </row>
    <row r="26" spans="1:25" ht="24.75" customHeight="1">
      <c r="A26" s="23"/>
      <c r="C26" s="39" t="s">
        <v>1121</v>
      </c>
      <c r="D26" s="77">
        <f>D25*E2</f>
        <v>2.9877188897137001</v>
      </c>
      <c r="I26" s="56"/>
      <c r="N26" s="12"/>
      <c r="O26" s="12"/>
      <c r="P26" s="12"/>
      <c r="Q26" s="12"/>
      <c r="R26" s="12"/>
      <c r="S26" s="12"/>
      <c r="T26" s="12"/>
      <c r="U26" s="12"/>
    </row>
    <row r="27" spans="1:25" ht="24.75" customHeight="1">
      <c r="A27" s="23"/>
      <c r="C27" s="39" t="s">
        <v>1122</v>
      </c>
      <c r="D27" s="38">
        <f>2.5/D25</f>
        <v>12.384029878910599</v>
      </c>
      <c r="E27" s="43" t="str">
        <f>IF(D27-F27&gt;0,"&gt;","&lt;")</f>
        <v>&lt;</v>
      </c>
      <c r="F27" s="44">
        <f>E2</f>
        <v>14.8</v>
      </c>
      <c r="G27" s="21" t="s">
        <v>1123</v>
      </c>
      <c r="I27" s="56"/>
      <c r="N27" s="12"/>
      <c r="O27" s="12"/>
      <c r="P27" s="12"/>
      <c r="Q27" s="12"/>
      <c r="R27" s="12"/>
      <c r="S27" s="12"/>
      <c r="T27" s="12"/>
      <c r="U27" s="12"/>
    </row>
    <row r="28" spans="1:25" ht="24.75" customHeight="1">
      <c r="A28" s="23"/>
      <c r="B28" s="12" t="s">
        <v>1124</v>
      </c>
      <c r="C28" s="12" t="s">
        <v>1125</v>
      </c>
      <c r="D28" s="38" t="str">
        <f>IF(E27="&gt;","刚性桩","弹性桩")</f>
        <v>弹性桩</v>
      </c>
      <c r="I28" s="56"/>
      <c r="N28" s="12"/>
      <c r="O28" s="12"/>
      <c r="P28" s="12"/>
      <c r="Q28" s="12"/>
      <c r="R28" s="12"/>
      <c r="S28" s="12"/>
      <c r="T28" s="12"/>
      <c r="U28" s="12"/>
    </row>
    <row r="29" spans="1:25" ht="24.75" customHeight="1">
      <c r="A29" s="45"/>
      <c r="B29" s="46"/>
      <c r="C29" s="47"/>
      <c r="D29" s="47"/>
      <c r="E29" s="46"/>
      <c r="F29" s="46"/>
      <c r="G29" s="46"/>
      <c r="H29" s="46"/>
      <c r="I29" s="65"/>
      <c r="N29" s="12"/>
      <c r="O29" s="12"/>
      <c r="P29" s="12"/>
      <c r="Q29" s="12"/>
      <c r="R29" s="12"/>
      <c r="S29" s="12"/>
      <c r="T29" s="12"/>
      <c r="U29" s="12"/>
    </row>
    <row r="30" spans="1:25" ht="24.75" hidden="1" customHeight="1">
      <c r="A30" s="90" t="s">
        <v>1126</v>
      </c>
      <c r="B30" s="91" t="s">
        <v>1127</v>
      </c>
      <c r="C30" s="18"/>
      <c r="D30" s="18"/>
      <c r="E30" s="18"/>
      <c r="F30" s="18"/>
      <c r="G30" s="18"/>
      <c r="H30" s="18"/>
      <c r="I30" s="96"/>
      <c r="N30" s="12"/>
      <c r="O30" s="12"/>
      <c r="P30" s="12"/>
      <c r="Q30" s="12"/>
      <c r="R30" s="12"/>
      <c r="S30" s="12"/>
      <c r="T30" s="12"/>
      <c r="U30" s="12"/>
    </row>
    <row r="31" spans="1:25" s="12" customFormat="1" ht="24.75" hidden="1" customHeight="1">
      <c r="A31" s="19"/>
      <c r="C31" s="87" t="s">
        <v>1128</v>
      </c>
      <c r="D31" s="12">
        <v>18</v>
      </c>
      <c r="E31" s="21" t="s">
        <v>1129</v>
      </c>
      <c r="I31" s="66"/>
    </row>
    <row r="32" spans="1:25" s="12" customFormat="1" ht="24.75" hidden="1" customHeight="1">
      <c r="A32" s="19"/>
      <c r="C32" s="87" t="s">
        <v>1130</v>
      </c>
      <c r="D32" s="12" t="s">
        <v>1131</v>
      </c>
      <c r="I32" s="66"/>
    </row>
    <row r="33" spans="1:20" s="12" customFormat="1" ht="24.75" hidden="1" customHeight="1">
      <c r="A33" s="19"/>
      <c r="C33" s="87" t="s">
        <v>1132</v>
      </c>
      <c r="D33" s="82">
        <f>IF(D32="黏性土",0.65,0.38)</f>
        <v>0.65</v>
      </c>
      <c r="I33" s="66"/>
    </row>
    <row r="34" spans="1:20" s="12" customFormat="1" ht="24.75" hidden="1" customHeight="1">
      <c r="A34" s="19"/>
      <c r="C34" s="87" t="s">
        <v>1133</v>
      </c>
      <c r="D34" s="82">
        <f>D31*TAN(RADIANS(45+D35/2))^2</f>
        <v>23.4043524691328</v>
      </c>
      <c r="E34" s="21" t="s">
        <v>1134</v>
      </c>
      <c r="G34" s="12">
        <f>(2*E2*D33*COS(RADIANS(45+D35/2))*TAN(RADIANS(D35))/E3/3+1)*E3</f>
        <v>4.2567063429674397</v>
      </c>
      <c r="I34" s="66"/>
      <c r="N34" s="71" t="s">
        <v>1135</v>
      </c>
      <c r="O34" s="72" t="s">
        <v>1136</v>
      </c>
      <c r="P34" s="72" t="s">
        <v>1137</v>
      </c>
      <c r="Q34" s="72" t="s">
        <v>1138</v>
      </c>
      <c r="R34" s="72" t="s">
        <v>1139</v>
      </c>
      <c r="S34" s="72"/>
      <c r="T34" s="72"/>
    </row>
    <row r="35" spans="1:20" s="12" customFormat="1" ht="24.75" hidden="1" customHeight="1">
      <c r="A35" s="19"/>
      <c r="C35" s="87" t="s">
        <v>1140</v>
      </c>
      <c r="D35" s="92">
        <f>D13</f>
        <v>7.5</v>
      </c>
      <c r="I35" s="66"/>
      <c r="N35" s="73">
        <v>2.4</v>
      </c>
      <c r="O35" s="73">
        <v>3.5259999999999998</v>
      </c>
      <c r="P35" s="73">
        <v>0.60099999999999998</v>
      </c>
      <c r="Q35" s="73">
        <v>2.327</v>
      </c>
      <c r="R35" s="73">
        <v>2.2269999999999999</v>
      </c>
      <c r="S35" s="73">
        <v>10.064</v>
      </c>
      <c r="T35" s="73">
        <v>5.4089999999999998</v>
      </c>
    </row>
    <row r="36" spans="1:20" s="12" customFormat="1" ht="24.75" hidden="1" customHeight="1">
      <c r="A36" s="19"/>
      <c r="C36" s="87" t="s">
        <v>1141</v>
      </c>
      <c r="D36" s="82">
        <f>TAN(RADIANS(D35))</f>
        <v>0.131652497587396</v>
      </c>
      <c r="I36" s="66"/>
      <c r="N36" s="73">
        <v>2.6</v>
      </c>
      <c r="O36" s="73">
        <v>3.1629999999999998</v>
      </c>
      <c r="P36" s="73">
        <v>0.63900000000000001</v>
      </c>
      <c r="Q36" s="73">
        <v>2.048</v>
      </c>
      <c r="R36" s="73">
        <v>2.0129999999999999</v>
      </c>
      <c r="S36" s="73">
        <v>11.670999999999999</v>
      </c>
      <c r="T36" s="73">
        <v>6.3680000000000003</v>
      </c>
    </row>
    <row r="37" spans="1:20" s="12" customFormat="1" ht="24.75" hidden="1" customHeight="1">
      <c r="A37" s="19"/>
      <c r="C37" s="87" t="s">
        <v>1142</v>
      </c>
      <c r="D37" s="82">
        <f>0.33*E3</f>
        <v>1.2210000000000001</v>
      </c>
      <c r="I37" s="66"/>
      <c r="N37" s="73">
        <v>2.8</v>
      </c>
      <c r="O37" s="73">
        <v>2.9049999999999998</v>
      </c>
      <c r="P37" s="73">
        <v>0.67500000000000004</v>
      </c>
      <c r="Q37" s="73">
        <v>1.869</v>
      </c>
      <c r="R37" s="73">
        <v>1.889</v>
      </c>
      <c r="S37" s="73">
        <v>13.003</v>
      </c>
      <c r="T37" s="73">
        <v>7.1760000000000002</v>
      </c>
    </row>
    <row r="38" spans="1:20" s="12" customFormat="1" ht="24.75" hidden="1" customHeight="1">
      <c r="A38" s="19"/>
      <c r="C38" s="87" t="s">
        <v>1143</v>
      </c>
      <c r="D38" s="92">
        <f>P43</f>
        <v>2.7379301881548099</v>
      </c>
      <c r="I38" s="66"/>
      <c r="N38" s="73">
        <v>3</v>
      </c>
      <c r="O38" s="73">
        <v>2.7269999999999999</v>
      </c>
      <c r="P38" s="73">
        <v>0.70299999999999996</v>
      </c>
      <c r="Q38" s="73">
        <v>1.758</v>
      </c>
      <c r="R38" s="73">
        <v>1.8180000000000001</v>
      </c>
      <c r="S38" s="73">
        <v>14.013</v>
      </c>
      <c r="T38" s="73">
        <v>7.7990000000000004</v>
      </c>
    </row>
    <row r="39" spans="1:20" s="12" customFormat="1" ht="24.75" hidden="1" customHeight="1">
      <c r="A39" s="19"/>
      <c r="C39" s="87" t="s">
        <v>1144</v>
      </c>
      <c r="D39" s="82">
        <f>PI()*(E3/2)^2*E2*25</f>
        <v>3978.2773170570999</v>
      </c>
      <c r="E39" s="21" t="s">
        <v>1145</v>
      </c>
      <c r="H39" s="12">
        <v>657.38856045333603</v>
      </c>
      <c r="I39" s="66"/>
      <c r="N39" s="73">
        <v>3.5</v>
      </c>
      <c r="O39" s="73">
        <v>2.5019999999999998</v>
      </c>
      <c r="P39" s="73">
        <v>0.75</v>
      </c>
      <c r="Q39" s="73">
        <v>1.641</v>
      </c>
      <c r="R39" s="73">
        <v>1.7569999999999999</v>
      </c>
      <c r="S39" s="73">
        <v>15.282</v>
      </c>
      <c r="T39" s="73">
        <v>8.6050000000000004</v>
      </c>
    </row>
    <row r="40" spans="1:20" s="12" customFormat="1" ht="24.75" hidden="1" customHeight="1">
      <c r="A40" s="19"/>
      <c r="C40" s="87" t="s">
        <v>1146</v>
      </c>
      <c r="D40" s="82">
        <f>D39*1.4+C4*1.4</f>
        <v>6515.9882438799305</v>
      </c>
      <c r="E40" s="12" t="str">
        <f>IF(D40-F40&gt;0,"&gt;","&lt;")</f>
        <v>&lt;</v>
      </c>
      <c r="F40" s="12">
        <f>(PI()*(E3/2)^2*(G9+G10+G11+G12)+(PI()*E3)*(F9*B9+F10*B10+F11*B11+F12*B12))/1.6</f>
        <v>9905.3729144293193</v>
      </c>
      <c r="G40" s="12" t="s">
        <v>1147</v>
      </c>
      <c r="I40" s="66"/>
      <c r="N40" s="73">
        <v>4</v>
      </c>
      <c r="O40" s="73">
        <v>2.4409999999999998</v>
      </c>
      <c r="P40" s="73">
        <v>0.76800000000000002</v>
      </c>
      <c r="Q40" s="73">
        <v>1.625</v>
      </c>
      <c r="R40" s="73">
        <v>1.7509999999999999</v>
      </c>
      <c r="S40" s="73">
        <v>15.544</v>
      </c>
      <c r="T40" s="73">
        <v>8.7810000000000006</v>
      </c>
    </row>
    <row r="41" spans="1:20" s="12" customFormat="1" ht="24.75" hidden="1" customHeight="1">
      <c r="A41" s="19"/>
      <c r="C41" s="87" t="s">
        <v>1148</v>
      </c>
      <c r="D41" s="82">
        <f>C3</f>
        <v>898</v>
      </c>
      <c r="E41" s="12" t="str">
        <f>IF(D41-F41&gt;0,"&gt;","&lt;")</f>
        <v>&lt;</v>
      </c>
      <c r="F41" s="12">
        <f>(0.75*D25^3*D22*C6/D38/1000)*1.4</f>
        <v>3343.7249608175698</v>
      </c>
      <c r="G41" s="12" t="s">
        <v>1149</v>
      </c>
      <c r="I41" s="66"/>
      <c r="N41" s="69"/>
      <c r="O41" s="69"/>
      <c r="P41" s="69"/>
      <c r="Q41" s="69"/>
      <c r="R41" s="69"/>
      <c r="S41" s="69"/>
      <c r="T41" s="69"/>
    </row>
    <row r="42" spans="1:20" s="12" customFormat="1" ht="24.75" hidden="1" customHeight="1">
      <c r="A42" s="458" t="str">
        <f>IF((D40-F40)&gt;0,"单桩承载力不满足要求",IF((D41-F41)&gt;0,"单桩承载力不满足要求","单桩承载力满足要求"))</f>
        <v>单桩承载力满足要求</v>
      </c>
      <c r="B42" s="452"/>
      <c r="C42" s="452"/>
      <c r="D42" s="452"/>
      <c r="E42" s="452"/>
      <c r="F42" s="452"/>
      <c r="G42" s="452"/>
      <c r="H42" s="452"/>
      <c r="I42" s="466"/>
      <c r="M42" s="474" t="s">
        <v>1150</v>
      </c>
      <c r="N42" s="73">
        <f>IF(D26&lt;2.4,2.4,IF(D26&gt;4,4,INDEX(N35:N40,MATCH(D26,N35:N40,1),1)))</f>
        <v>2.8</v>
      </c>
      <c r="O42" s="73">
        <f>IF(D26&lt;2.4,2.4,IF(D26&gt;4,4,INDEX(N35:N40,MATCH(D26,N35:N40,1)+1,1)))</f>
        <v>3</v>
      </c>
      <c r="P42" s="73">
        <f>D26</f>
        <v>2.9877188897137001</v>
      </c>
      <c r="Q42" s="69"/>
      <c r="R42" s="69"/>
      <c r="S42" s="69"/>
      <c r="T42" s="69"/>
    </row>
    <row r="43" spans="1:20" s="12" customFormat="1" ht="24.75" hidden="1" customHeight="1">
      <c r="A43" s="19">
        <v>3</v>
      </c>
      <c r="B43" s="467" t="s">
        <v>1151</v>
      </c>
      <c r="C43" s="467"/>
      <c r="D43" s="467"/>
      <c r="E43" s="467"/>
      <c r="F43" s="467"/>
      <c r="G43" s="467"/>
      <c r="H43" s="467"/>
      <c r="I43" s="468"/>
      <c r="J43" s="21"/>
      <c r="K43" s="21"/>
      <c r="L43" s="21"/>
      <c r="M43" s="474"/>
      <c r="N43" s="73">
        <f>LOOKUP(N42,N35:O40)</f>
        <v>2.9049999999999998</v>
      </c>
      <c r="O43" s="73">
        <f>LOOKUP(O42,N35:O40)</f>
        <v>2.7269999999999999</v>
      </c>
      <c r="P43" s="73">
        <f>TREND(N43:O43,N42:O42,P42)</f>
        <v>2.7379301881548099</v>
      </c>
      <c r="R43" s="48" t="s">
        <v>1152</v>
      </c>
      <c r="S43" s="76" t="s">
        <v>1153</v>
      </c>
    </row>
    <row r="44" spans="1:20" s="12" customFormat="1" ht="24.75" hidden="1" customHeight="1">
      <c r="A44" s="19"/>
      <c r="B44" s="21"/>
      <c r="C44" s="48" t="s">
        <v>1154</v>
      </c>
      <c r="D44" s="93">
        <f>SQRT((C3/1.4+(C4/1.4+D39)*TAN(RADIANS(D35)))/(2*D46*(1+TAN(RADIANS(D35))^2))+0.5)</f>
        <v>0.74521711431503601</v>
      </c>
      <c r="E44" s="21" t="str">
        <f>IF(D41-F41&gt;0,"&gt;","&lt;")</f>
        <v>&lt;</v>
      </c>
      <c r="F44" s="21">
        <v>1</v>
      </c>
      <c r="G44" s="21" t="str">
        <f>IF(D44&lt;F44,"满足","不满足")</f>
        <v>满足</v>
      </c>
      <c r="H44" s="21"/>
      <c r="I44" s="97"/>
      <c r="J44" s="21"/>
      <c r="K44" s="21"/>
      <c r="L44" s="21"/>
      <c r="N44" s="74">
        <f>N42</f>
        <v>2.8</v>
      </c>
      <c r="O44" s="74">
        <f>O42</f>
        <v>3</v>
      </c>
      <c r="P44" s="75">
        <f>D26</f>
        <v>2.9877188897137001</v>
      </c>
    </row>
    <row r="45" spans="1:20" s="12" customFormat="1" ht="24.75" hidden="1" customHeight="1">
      <c r="A45" s="19"/>
      <c r="C45" s="39" t="s">
        <v>1155</v>
      </c>
      <c r="D45" s="82">
        <f>(2*E2*D33*COS(RADIANS(45+D35/2))*TAN(RADIANS(D35))/E3/3+1)*E3</f>
        <v>4.2567063429674397</v>
      </c>
      <c r="I45" s="66"/>
      <c r="N45" s="12">
        <f>VLOOKUP(N42,N35:T40,4,FALSE)</f>
        <v>1.869</v>
      </c>
      <c r="O45" s="12">
        <f>VLOOKUP(O42,N35:T40,4,FALSE)</f>
        <v>1.758</v>
      </c>
      <c r="P45" s="12">
        <f>TREND(N45:O45,N44:O44,P44)</f>
        <v>1.7648160162088999</v>
      </c>
    </row>
    <row r="46" spans="1:20" s="12" customFormat="1" ht="24.75" hidden="1" customHeight="1">
      <c r="A46" s="19"/>
      <c r="C46" s="39" t="s">
        <v>1156</v>
      </c>
      <c r="D46" s="82">
        <f>D34*D45*E2^2/2</f>
        <v>10910.979898232299</v>
      </c>
      <c r="I46" s="66"/>
      <c r="N46" s="12">
        <f>VLOOKUP(N42,N35:T40,5,FALSE)</f>
        <v>1.889</v>
      </c>
      <c r="O46" s="12">
        <f>VLOOKUP(O42,N35:T40,5,FALSE)</f>
        <v>1.8180000000000001</v>
      </c>
      <c r="P46" s="12">
        <f>TREND(N46:O46,N44:O44,P44)</f>
        <v>1.8223597941516401</v>
      </c>
    </row>
    <row r="47" spans="1:20" s="12" customFormat="1" ht="24.75" hidden="1" customHeight="1">
      <c r="A47" s="19"/>
      <c r="C47" s="39" t="s">
        <v>1157</v>
      </c>
      <c r="D47" s="82">
        <f>IF(((D39+C4/1.4)-C3/1.4*TAN(RADIANS(D35)))/(1+TAN(RADIANS(D35))^2)&lt;0,0,((D39+C4/1.4)-C3/1.4*TAN(RADIANS(D35)))/(1+TAN(RADIANS(D35))^2))</f>
        <v>4302.1227594674601</v>
      </c>
      <c r="I47" s="66"/>
      <c r="N47" s="12">
        <f>VLOOKUP(N42,N35:T40,6,FALSE)</f>
        <v>13.003</v>
      </c>
      <c r="O47" s="12">
        <f>VLOOKUP(O42,N35:T40,6,FALSE)</f>
        <v>14.013</v>
      </c>
      <c r="P47" s="12">
        <f>TREND(N47:O47,N44:O44,P44)</f>
        <v>13.9509803930542</v>
      </c>
    </row>
    <row r="48" spans="1:20" s="12" customFormat="1" ht="24.75" hidden="1" customHeight="1">
      <c r="A48" s="19"/>
      <c r="C48" s="39" t="s">
        <v>1158</v>
      </c>
      <c r="D48" s="82">
        <f>D39/1.4/(PI()*(E3/2)^2)</f>
        <v>264.28571428571399</v>
      </c>
      <c r="E48" s="12" t="str">
        <f>IF(D48-F48&gt;0,"&gt;","&lt;")</f>
        <v>&lt;</v>
      </c>
      <c r="F48" s="12">
        <f>G13</f>
        <v>450</v>
      </c>
      <c r="G48" s="12" t="str">
        <f>IF(D48&lt;F48,"满足","不满足")</f>
        <v>满足</v>
      </c>
      <c r="I48" s="66"/>
    </row>
    <row r="49" spans="1:23" s="12" customFormat="1" ht="24.75" hidden="1" customHeight="1">
      <c r="A49" s="19"/>
      <c r="C49" s="39" t="s">
        <v>1159</v>
      </c>
      <c r="D49" s="82">
        <f>(C2+C3*G5)/1.4</f>
        <v>19005.428571428602</v>
      </c>
      <c r="I49" s="66"/>
      <c r="N49" s="69">
        <v>14000</v>
      </c>
      <c r="O49" s="69">
        <v>35000</v>
      </c>
      <c r="P49" s="69">
        <v>14000</v>
      </c>
    </row>
    <row r="50" spans="1:23" s="12" customFormat="1" ht="24.75" hidden="1" customHeight="1">
      <c r="A50" s="19"/>
      <c r="C50" s="39" t="s">
        <v>1160</v>
      </c>
      <c r="D50" s="82">
        <f>(2*D46*E2*(1-2*D44^3)/3+D47*(D37+D36*E2)+0.5*D36*E3*D46)*0.5</f>
        <v>17420.333961265798</v>
      </c>
      <c r="E50" s="12" t="str">
        <f>IF(D50-F50&gt;0,"&gt;","&lt;")</f>
        <v>&lt;</v>
      </c>
      <c r="F50" s="12">
        <f>D49</f>
        <v>19005.428571428602</v>
      </c>
      <c r="I50" s="66"/>
      <c r="N50" s="69">
        <v>6</v>
      </c>
      <c r="O50" s="43">
        <v>3</v>
      </c>
      <c r="P50" s="69">
        <f>TREND(N50:O50,N49:O49,P49)</f>
        <v>6</v>
      </c>
      <c r="Q50" s="43"/>
      <c r="R50" s="43"/>
      <c r="S50" s="69"/>
      <c r="T50" s="69"/>
      <c r="U50" s="69"/>
      <c r="V50" s="69"/>
      <c r="W50" s="69"/>
    </row>
    <row r="51" spans="1:23" s="12" customFormat="1" ht="24.75" hidden="1" customHeight="1">
      <c r="A51" s="469" t="str">
        <f>IF(E50="&gt;","短柱抗倾覆满足要求","短柱抗倾覆不满足要求")</f>
        <v>短柱抗倾覆不满足要求</v>
      </c>
      <c r="B51" s="470"/>
      <c r="C51" s="470"/>
      <c r="D51" s="470"/>
      <c r="E51" s="470"/>
      <c r="F51" s="470"/>
      <c r="G51" s="470"/>
      <c r="H51" s="470"/>
      <c r="I51" s="471"/>
      <c r="J51" s="94"/>
      <c r="K51" s="94"/>
      <c r="L51" s="67"/>
      <c r="N51" s="69"/>
      <c r="O51" s="69"/>
      <c r="P51" s="69"/>
      <c r="Q51" s="69"/>
      <c r="R51" s="69"/>
      <c r="S51" s="69"/>
      <c r="T51" s="69"/>
      <c r="U51" s="69"/>
      <c r="V51" s="69"/>
      <c r="W51" s="69"/>
    </row>
    <row r="52" spans="1:23" s="12" customFormat="1" ht="24.75" customHeight="1">
      <c r="A52" s="14"/>
      <c r="B52" s="15" t="s">
        <v>1161</v>
      </c>
      <c r="C52" s="15"/>
      <c r="D52" s="15"/>
      <c r="E52" s="15"/>
      <c r="F52" s="15"/>
      <c r="G52" s="15"/>
      <c r="H52" s="15"/>
      <c r="I52" s="68"/>
      <c r="N52" s="69"/>
      <c r="O52" s="69"/>
      <c r="P52" s="69"/>
      <c r="Q52" s="69"/>
      <c r="R52" s="69"/>
      <c r="S52" s="69"/>
      <c r="T52" s="69"/>
      <c r="U52" s="69"/>
      <c r="V52" s="69"/>
      <c r="W52" s="69"/>
    </row>
    <row r="53" spans="1:23" s="12" customFormat="1" ht="24.75" customHeight="1">
      <c r="A53" s="19"/>
      <c r="C53" s="12" t="s">
        <v>1162</v>
      </c>
      <c r="D53" s="38">
        <f>(C2+C3*G5)/1.4</f>
        <v>19005.428571428602</v>
      </c>
      <c r="E53" s="21" t="s">
        <v>400</v>
      </c>
      <c r="I53" s="66"/>
      <c r="N53" s="69"/>
      <c r="O53" s="69"/>
      <c r="P53" s="69"/>
      <c r="Q53" s="69"/>
      <c r="R53" s="69"/>
      <c r="S53" s="69"/>
      <c r="T53" s="69"/>
      <c r="U53" s="69"/>
      <c r="V53" s="69"/>
      <c r="W53" s="69"/>
    </row>
    <row r="54" spans="1:23" s="12" customFormat="1" ht="24.75" customHeight="1">
      <c r="A54" s="19"/>
      <c r="B54" s="12" t="s">
        <v>1163</v>
      </c>
      <c r="I54" s="66"/>
      <c r="N54" s="69"/>
      <c r="O54" s="69"/>
      <c r="P54" s="69"/>
      <c r="Q54" s="69"/>
      <c r="R54" s="69"/>
      <c r="S54" s="69"/>
      <c r="T54" s="69"/>
      <c r="U54" s="69"/>
      <c r="V54" s="69"/>
      <c r="W54" s="69"/>
    </row>
    <row r="55" spans="1:23" s="12" customFormat="1" ht="24.75" customHeight="1">
      <c r="A55" s="19"/>
      <c r="B55" s="12" t="s">
        <v>1164</v>
      </c>
      <c r="C55" s="38">
        <f>P43</f>
        <v>2.7379301881548099</v>
      </c>
      <c r="D55" s="12" t="s">
        <v>1165</v>
      </c>
      <c r="E55" s="38">
        <f>P45</f>
        <v>1.7648160162088999</v>
      </c>
      <c r="F55" s="12" t="s">
        <v>1166</v>
      </c>
      <c r="G55" s="38">
        <f>P46</f>
        <v>1.8223597941516401</v>
      </c>
      <c r="I55" s="66"/>
      <c r="N55" s="69"/>
      <c r="O55" s="69"/>
      <c r="P55" s="69"/>
      <c r="Q55" s="69"/>
      <c r="R55" s="69"/>
      <c r="S55" s="69"/>
      <c r="T55" s="69"/>
      <c r="U55" s="69"/>
      <c r="V55" s="69"/>
      <c r="W55" s="69"/>
    </row>
    <row r="56" spans="1:23" s="12" customFormat="1" ht="24.75" customHeight="1">
      <c r="A56" s="19"/>
      <c r="B56" s="48" t="s">
        <v>1167</v>
      </c>
      <c r="I56" s="66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spans="1:23" s="12" customFormat="1" ht="24.75" customHeight="1">
      <c r="A57" s="19"/>
      <c r="B57" s="12" t="s">
        <v>1168</v>
      </c>
      <c r="I57" s="66"/>
      <c r="N57" s="69"/>
      <c r="O57" s="69"/>
      <c r="P57" s="69"/>
      <c r="Q57" s="69"/>
      <c r="R57" s="69"/>
      <c r="S57" s="69"/>
      <c r="T57" s="69"/>
      <c r="U57" s="69"/>
      <c r="V57" s="69"/>
      <c r="W57" s="69"/>
    </row>
    <row r="58" spans="1:23" s="12" customFormat="1" ht="24.75" customHeight="1">
      <c r="A58" s="19"/>
      <c r="B58" s="49" t="s">
        <v>1169</v>
      </c>
      <c r="C58" s="50" t="s">
        <v>1170</v>
      </c>
      <c r="D58" s="38">
        <f>C55/(D25^3*D22)</f>
        <v>1.8841262585364099E-6</v>
      </c>
      <c r="E58" s="21" t="s">
        <v>1171</v>
      </c>
      <c r="I58" s="66"/>
      <c r="N58" s="69"/>
      <c r="O58" s="69"/>
      <c r="P58" s="69"/>
      <c r="Q58" s="69"/>
      <c r="R58" s="69"/>
      <c r="S58" s="69"/>
      <c r="T58" s="69"/>
      <c r="U58" s="69"/>
      <c r="V58" s="69"/>
      <c r="W58" s="69"/>
    </row>
    <row r="59" spans="1:23" s="12" customFormat="1" ht="24.75" customHeight="1">
      <c r="A59" s="19"/>
      <c r="B59" s="12" t="s">
        <v>1172</v>
      </c>
      <c r="I59" s="66"/>
      <c r="N59" s="69"/>
      <c r="O59" s="69"/>
      <c r="P59" s="69"/>
      <c r="Q59" s="69"/>
      <c r="R59" s="69"/>
      <c r="S59" s="69"/>
      <c r="T59" s="69"/>
      <c r="U59" s="69"/>
      <c r="V59" s="69"/>
      <c r="W59" s="69"/>
    </row>
    <row r="60" spans="1:23" s="12" customFormat="1" ht="24.75" customHeight="1">
      <c r="A60" s="19"/>
      <c r="B60" s="12" t="s">
        <v>1173</v>
      </c>
      <c r="C60" s="12" t="s">
        <v>1174</v>
      </c>
      <c r="D60" s="38">
        <f>E55/(D25^2*D22)</f>
        <v>2.45168734838126E-7</v>
      </c>
      <c r="E60" s="21" t="s">
        <v>1171</v>
      </c>
      <c r="I60" s="66"/>
      <c r="N60" s="69"/>
      <c r="O60" s="69"/>
      <c r="P60" s="69"/>
      <c r="Q60" s="69"/>
      <c r="R60" s="69"/>
      <c r="S60" s="69"/>
      <c r="T60" s="69"/>
      <c r="U60" s="69"/>
      <c r="V60" s="69"/>
      <c r="W60" s="69"/>
    </row>
    <row r="61" spans="1:23" s="12" customFormat="1" ht="24.75" customHeight="1">
      <c r="A61" s="19"/>
      <c r="B61" s="48" t="s">
        <v>1175</v>
      </c>
      <c r="C61" s="51"/>
      <c r="D61" s="51"/>
      <c r="E61" s="51"/>
      <c r="F61" s="51"/>
      <c r="I61" s="66"/>
      <c r="N61" s="69"/>
      <c r="O61" s="69"/>
      <c r="P61" s="69"/>
      <c r="Q61" s="69"/>
      <c r="R61" s="69"/>
      <c r="S61" s="69"/>
      <c r="T61" s="69"/>
      <c r="U61" s="69"/>
      <c r="V61" s="69"/>
      <c r="W61" s="69"/>
    </row>
    <row r="62" spans="1:23" s="12" customFormat="1" ht="24.75" customHeight="1">
      <c r="A62" s="52"/>
      <c r="B62" s="12" t="s">
        <v>1176</v>
      </c>
      <c r="C62" s="12" t="s">
        <v>1177</v>
      </c>
      <c r="D62" s="38">
        <f>D60</f>
        <v>2.45168734838126E-7</v>
      </c>
      <c r="E62" s="21" t="s">
        <v>1171</v>
      </c>
      <c r="F62" s="51"/>
      <c r="I62" s="66"/>
      <c r="N62" s="69"/>
      <c r="O62" s="69"/>
      <c r="P62" s="69"/>
      <c r="Q62" s="69"/>
      <c r="R62" s="69"/>
      <c r="S62" s="69"/>
      <c r="T62" s="69"/>
      <c r="U62" s="69"/>
      <c r="V62" s="69"/>
      <c r="W62" s="69"/>
    </row>
    <row r="63" spans="1:23" s="12" customFormat="1" ht="24.75" customHeight="1">
      <c r="A63" s="52"/>
      <c r="B63" s="12" t="s">
        <v>1172</v>
      </c>
      <c r="C63" s="12" t="s">
        <v>1178</v>
      </c>
      <c r="D63" s="38">
        <f>G55/(D25*D22)</f>
        <v>5.11066944783691E-8</v>
      </c>
      <c r="E63" s="21" t="s">
        <v>1171</v>
      </c>
      <c r="F63" s="51"/>
      <c r="I63" s="66"/>
      <c r="N63" s="69"/>
      <c r="O63" s="69"/>
      <c r="P63" s="69"/>
      <c r="Q63" s="69"/>
      <c r="R63" s="69"/>
      <c r="S63" s="69"/>
      <c r="T63" s="69"/>
      <c r="U63" s="69"/>
      <c r="V63" s="69"/>
      <c r="W63" s="69"/>
    </row>
    <row r="64" spans="1:23" s="12" customFormat="1" ht="24.75" customHeight="1">
      <c r="A64" s="52"/>
      <c r="B64" s="48" t="s">
        <v>1179</v>
      </c>
      <c r="E64" s="21"/>
      <c r="F64" s="51"/>
      <c r="I64" s="66"/>
      <c r="N64" s="69"/>
      <c r="O64" s="69"/>
      <c r="P64" s="69"/>
      <c r="Q64" s="69"/>
      <c r="R64" s="69"/>
      <c r="S64" s="69"/>
      <c r="T64" s="69"/>
      <c r="U64" s="69"/>
      <c r="V64" s="69"/>
      <c r="W64" s="69"/>
    </row>
    <row r="65" spans="1:23" s="12" customFormat="1" ht="24.75" customHeight="1">
      <c r="A65" s="52"/>
      <c r="B65" s="12" t="s">
        <v>1180</v>
      </c>
      <c r="E65" s="21"/>
      <c r="F65" s="51"/>
      <c r="I65" s="66"/>
      <c r="L65" s="12" t="s">
        <v>74</v>
      </c>
      <c r="M65" s="12" t="s">
        <v>1181</v>
      </c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spans="1:23" s="12" customFormat="1" ht="24.75" customHeight="1">
      <c r="A66" s="52"/>
      <c r="B66" s="12" t="s">
        <v>1182</v>
      </c>
      <c r="C66" s="38">
        <f>((C3/1.4)*D58+D53*D60)*1000</f>
        <v>5.8680692923175801</v>
      </c>
      <c r="D66" s="12" t="str">
        <f>IF(C66-E66&gt;0,"&gt;","&lt;")</f>
        <v>&lt;</v>
      </c>
      <c r="E66" s="21">
        <f>C6</f>
        <v>6</v>
      </c>
      <c r="F66" s="53" t="str">
        <f>IF(C66&lt;E66,"满足","不满足")</f>
        <v>满足</v>
      </c>
      <c r="I66" s="66"/>
      <c r="L66" s="12">
        <v>0.6</v>
      </c>
      <c r="M66" s="98">
        <v>1.0999999999999999E-2</v>
      </c>
      <c r="N66" s="69"/>
      <c r="O66" s="69"/>
      <c r="P66" s="69"/>
      <c r="Q66" s="69"/>
      <c r="R66" s="69"/>
      <c r="S66" s="69"/>
      <c r="T66" s="69"/>
      <c r="U66" s="69"/>
      <c r="V66" s="69"/>
      <c r="W66" s="69"/>
    </row>
    <row r="67" spans="1:23" s="12" customFormat="1" ht="24.75" customHeight="1">
      <c r="A67" s="52"/>
      <c r="B67" s="21" t="s">
        <v>1172</v>
      </c>
      <c r="E67" s="21"/>
      <c r="F67" s="51"/>
      <c r="I67" s="66"/>
      <c r="L67" s="12">
        <v>0.7</v>
      </c>
      <c r="M67" s="98">
        <v>1.0999999999999999E-2</v>
      </c>
      <c r="N67" s="99" t="str">
        <f>IF(B72="位移不满足要求","1","")</f>
        <v/>
      </c>
      <c r="O67" s="69"/>
      <c r="P67" s="69"/>
      <c r="Q67" s="69"/>
      <c r="R67" s="69"/>
      <c r="S67" s="69"/>
      <c r="T67" s="69"/>
      <c r="U67" s="69"/>
      <c r="V67" s="69"/>
      <c r="W67" s="69"/>
    </row>
    <row r="68" spans="1:23" s="12" customFormat="1" ht="24.75" customHeight="1">
      <c r="A68" s="19"/>
      <c r="B68" s="48" t="s">
        <v>1183</v>
      </c>
      <c r="C68" s="38">
        <f>(C3*D60+D53*D63)*57.29578</f>
        <v>6.8265982712380005E-2</v>
      </c>
      <c r="D68" s="12" t="str">
        <f>IF(C68-E68&gt;0,"&gt;","&lt;")</f>
        <v>&lt;</v>
      </c>
      <c r="E68" s="21">
        <f>IF(C7="直线杆",0.5,0.3)</f>
        <v>0.3</v>
      </c>
      <c r="F68" s="12" t="str">
        <f>IF(C68&lt;E68,"满足","不满足")</f>
        <v>满足</v>
      </c>
      <c r="I68" s="66"/>
      <c r="L68" s="12">
        <v>0.8</v>
      </c>
      <c r="M68" s="98">
        <v>8.0000000000000002E-3</v>
      </c>
      <c r="N68" s="12" t="s">
        <v>1184</v>
      </c>
      <c r="O68" s="12">
        <f>C2/1.4</f>
        <v>18877.142857142899</v>
      </c>
    </row>
    <row r="69" spans="1:23" s="12" customFormat="1" ht="24.75" hidden="1" customHeight="1">
      <c r="A69" s="19"/>
      <c r="C69" s="48"/>
      <c r="I69" s="66"/>
      <c r="M69" s="98"/>
      <c r="N69" s="12" t="s">
        <v>1185</v>
      </c>
      <c r="O69" s="12">
        <f>C3/1.4</f>
        <v>641.42857142857099</v>
      </c>
    </row>
    <row r="70" spans="1:23" s="12" customFormat="1" ht="24.75" hidden="1" customHeight="1">
      <c r="A70" s="19"/>
      <c r="G70" s="21"/>
      <c r="I70" s="66"/>
      <c r="M70" s="98"/>
      <c r="N70" s="12" t="s">
        <v>1186</v>
      </c>
      <c r="O70" s="12">
        <v>0.5</v>
      </c>
    </row>
    <row r="71" spans="1:23" s="12" customFormat="1" ht="24.75" hidden="1" customHeight="1">
      <c r="A71" s="19"/>
      <c r="I71" s="66"/>
      <c r="M71" s="98"/>
      <c r="N71" s="12" t="s">
        <v>1187</v>
      </c>
      <c r="O71" s="12">
        <v>0.3</v>
      </c>
    </row>
    <row r="72" spans="1:23" s="12" customFormat="1" ht="24.75" customHeight="1">
      <c r="A72" s="78" t="s">
        <v>1124</v>
      </c>
      <c r="B72" s="472" t="str">
        <f>IF(D66="&gt;","位移不满足要求","位移满足要求")</f>
        <v>位移满足要求</v>
      </c>
      <c r="C72" s="472"/>
      <c r="D72" s="472"/>
      <c r="E72" s="472"/>
      <c r="F72" s="472"/>
      <c r="G72" s="472"/>
      <c r="H72" s="472"/>
      <c r="I72" s="473"/>
      <c r="J72" s="22"/>
      <c r="K72" s="22"/>
      <c r="L72" s="12">
        <v>0.9</v>
      </c>
      <c r="M72" s="98">
        <v>7.0000000000000001E-3</v>
      </c>
    </row>
    <row r="73" spans="1:23" s="12" customFormat="1" ht="24.75" customHeight="1">
      <c r="A73" s="19"/>
      <c r="B73" s="12" t="s">
        <v>1188</v>
      </c>
      <c r="I73" s="66"/>
      <c r="M73" s="98"/>
    </row>
    <row r="74" spans="1:23" s="12" customFormat="1" ht="24.75" customHeight="1">
      <c r="A74" s="79"/>
      <c r="B74" s="37"/>
      <c r="C74" s="39" t="s">
        <v>1189</v>
      </c>
      <c r="D74" s="80">
        <f>D69*D71*D76^3/(3*E2)-D69*D70*D76^2/(2*E2)+O69</f>
        <v>641.42857142857099</v>
      </c>
      <c r="I74" s="66"/>
      <c r="M74" s="98"/>
    </row>
    <row r="75" spans="1:23" s="12" customFormat="1" ht="24.75" customHeight="1">
      <c r="A75" s="79"/>
      <c r="B75" s="37"/>
      <c r="C75" s="39" t="s">
        <v>1190</v>
      </c>
      <c r="D75" s="81">
        <v>0</v>
      </c>
      <c r="I75" s="66"/>
      <c r="M75" s="98"/>
    </row>
    <row r="76" spans="1:23" s="12" customFormat="1" ht="24.75" customHeight="1">
      <c r="A76" s="19"/>
      <c r="B76" s="12" t="s">
        <v>1191</v>
      </c>
      <c r="D76" s="12">
        <v>5.4899505173898099E-2</v>
      </c>
      <c r="E76" s="21" t="s">
        <v>36</v>
      </c>
      <c r="F76" s="12" t="s">
        <v>1192</v>
      </c>
      <c r="I76" s="66"/>
      <c r="M76" s="98"/>
      <c r="N76" s="12" t="s">
        <v>1193</v>
      </c>
      <c r="O76" s="12">
        <f>O68</f>
        <v>18877.142857142899</v>
      </c>
    </row>
    <row r="77" spans="1:23" s="12" customFormat="1" ht="24.75" customHeight="1">
      <c r="A77" s="19"/>
      <c r="C77" s="12" t="s">
        <v>1193</v>
      </c>
      <c r="D77" s="82">
        <f>(O68+O69*D76-D70*D69/6/E2*D76^3+D69*D71*D76^4/12/E2)*1.4</f>
        <v>26477.2997556462</v>
      </c>
      <c r="E77" s="21" t="s">
        <v>1194</v>
      </c>
      <c r="I77" s="66"/>
      <c r="M77" s="98"/>
      <c r="N77" s="12" t="s">
        <v>1195</v>
      </c>
      <c r="O77" s="12">
        <f>O69</f>
        <v>641.42857142857099</v>
      </c>
    </row>
    <row r="78" spans="1:23" s="12" customFormat="1" ht="24.75" customHeight="1">
      <c r="A78" s="19"/>
      <c r="C78" s="12" t="s">
        <v>1195</v>
      </c>
      <c r="D78" s="82">
        <f>(O69-((D69*D70)/2/E2)*D76^2+D69*D71/3/E2*D76^3)*1.4</f>
        <v>898</v>
      </c>
      <c r="E78" s="21"/>
      <c r="I78" s="66"/>
      <c r="M78" s="98"/>
    </row>
    <row r="79" spans="1:23" s="12" customFormat="1" ht="24.75" customHeight="1">
      <c r="A79" s="19"/>
      <c r="B79" s="12" t="s">
        <v>1196</v>
      </c>
      <c r="I79" s="66"/>
      <c r="L79" s="12">
        <v>1</v>
      </c>
      <c r="M79" s="98">
        <v>6.0000000000000001E-3</v>
      </c>
    </row>
    <row r="80" spans="1:23" s="12" customFormat="1" ht="24.75" customHeight="1">
      <c r="A80" s="19"/>
      <c r="C80" s="12" t="s">
        <v>1197</v>
      </c>
      <c r="D80" s="38">
        <f>IF(E6="","",LOOKUP(E6,O16:O18,P16:P18))</f>
        <v>360</v>
      </c>
      <c r="E80" s="21" t="s">
        <v>1198</v>
      </c>
      <c r="I80" s="66"/>
      <c r="L80" s="12">
        <v>1.1000000000000001</v>
      </c>
      <c r="M80" s="98">
        <v>6.0000000000000001E-3</v>
      </c>
    </row>
    <row r="81" spans="1:18" s="12" customFormat="1" ht="24.75" customHeight="1">
      <c r="A81" s="19"/>
      <c r="C81" s="12" t="s">
        <v>1199</v>
      </c>
      <c r="D81" s="38">
        <f>IF(C5="","",LOOKUP(C5,O9:O13,Q9:Q13))</f>
        <v>13.5</v>
      </c>
      <c r="E81" s="21" t="s">
        <v>1198</v>
      </c>
      <c r="I81" s="66"/>
      <c r="L81" s="12">
        <v>1.2</v>
      </c>
      <c r="M81" s="98">
        <v>5.0000000000000001E-3</v>
      </c>
    </row>
    <row r="82" spans="1:18" s="12" customFormat="1" ht="24.75" customHeight="1">
      <c r="A82" s="19"/>
      <c r="C82" s="12" t="s">
        <v>1200</v>
      </c>
      <c r="D82" s="38">
        <f>(E5/2)^2*PI()*E4</f>
        <v>52338.933608805899</v>
      </c>
      <c r="E82" s="21" t="s">
        <v>1201</v>
      </c>
      <c r="I82" s="66"/>
      <c r="L82" s="12">
        <v>1.3</v>
      </c>
      <c r="M82" s="98">
        <v>5.0000000000000001E-3</v>
      </c>
      <c r="N82" s="12" t="s">
        <v>122</v>
      </c>
      <c r="O82" s="12">
        <f>IF(((D80*D82)/(2*D80*D82+D83*D81))&lt;0.3,(D80*D82)/(2*D80*D82+D83*D81),0.3)</f>
        <v>0.10305340560267801</v>
      </c>
      <c r="Q82" s="12" t="s">
        <v>122</v>
      </c>
      <c r="R82" s="12">
        <f>IF(((D80*D82)/(2.5*D80*D82+D83*D81))&lt;0.3,(D80*D82)/(2.5*D80*D82+D83*D81),0.3)</f>
        <v>9.8003603073642406E-2</v>
      </c>
    </row>
    <row r="83" spans="1:18" s="12" customFormat="1" ht="24.75" customHeight="1">
      <c r="A83" s="19"/>
      <c r="C83" s="12" t="s">
        <v>1202</v>
      </c>
      <c r="D83" s="38">
        <f>(E3*500)^2*PI()</f>
        <v>10752100.8569111</v>
      </c>
      <c r="E83" s="21" t="s">
        <v>1201</v>
      </c>
      <c r="I83" s="66"/>
      <c r="L83" s="12">
        <v>1.4</v>
      </c>
      <c r="M83" s="98">
        <v>5.0000000000000001E-3</v>
      </c>
      <c r="N83" s="12" t="s">
        <v>1104</v>
      </c>
      <c r="O83" s="12">
        <f>E3*1000</f>
        <v>3700</v>
      </c>
      <c r="Q83" s="12" t="s">
        <v>1104</v>
      </c>
      <c r="R83" s="12">
        <f>E3*1000</f>
        <v>3700</v>
      </c>
    </row>
    <row r="84" spans="1:18" s="12" customFormat="1" ht="24.75" customHeight="1">
      <c r="A84" s="19"/>
      <c r="C84" s="48"/>
      <c r="D84" s="38"/>
      <c r="I84" s="66"/>
      <c r="L84" s="12">
        <v>1.5</v>
      </c>
      <c r="M84" s="98">
        <v>4.0000000000000001E-3</v>
      </c>
      <c r="N84" s="12" t="s">
        <v>1203</v>
      </c>
      <c r="O84" s="12">
        <f>SIN(RADIANS(O82*180))</f>
        <v>0.31812570061288298</v>
      </c>
      <c r="Q84" s="12" t="s">
        <v>1203</v>
      </c>
      <c r="R84" s="12">
        <f>SIN(RADIANS(R82*180))</f>
        <v>0.30304605675788898</v>
      </c>
    </row>
    <row r="85" spans="1:18" s="12" customFormat="1" ht="24.75" customHeight="1">
      <c r="A85" s="19"/>
      <c r="C85" s="12" t="s">
        <v>1204</v>
      </c>
      <c r="D85" s="38">
        <f>(D81*D83*O83/2+2*D80*D82*O85/2)*O84/3.14/1000000/1.7</f>
        <v>20014.707436619301</v>
      </c>
      <c r="E85" s="22" t="str">
        <f>IF(D85-F85&gt;0,"&gt;","&lt;")</f>
        <v>&gt;</v>
      </c>
      <c r="F85" s="38">
        <f>O76</f>
        <v>18877.142857142899</v>
      </c>
      <c r="G85" s="38" t="str">
        <f>IF(D85&lt;F85,"不满足","满足")</f>
        <v>满足</v>
      </c>
      <c r="I85" s="66"/>
      <c r="L85" s="12">
        <v>1.6</v>
      </c>
      <c r="M85" s="98">
        <v>4.0000000000000001E-3</v>
      </c>
      <c r="N85" s="12" t="s">
        <v>1205</v>
      </c>
      <c r="O85" s="12">
        <f>(O83/1000-G3*2-E5/1000)*1000</f>
        <v>3572</v>
      </c>
      <c r="Q85" s="12" t="s">
        <v>1205</v>
      </c>
      <c r="R85" s="12">
        <f>(O83/1000-G3*2-E5/1000)*1000</f>
        <v>3572</v>
      </c>
    </row>
    <row r="86" spans="1:18" s="12" customFormat="1" ht="24.75" customHeight="1">
      <c r="A86" s="19"/>
      <c r="C86" s="12" t="s">
        <v>1204</v>
      </c>
      <c r="D86" s="38">
        <f>(((D81*D83*(R83)*R84/2/PI())+D80*D82*(R85/2)*R88/PI()))/1000000/1.7</f>
        <v>19954.472809015999</v>
      </c>
      <c r="E86" s="22" t="str">
        <f>IF(D86-F86&gt;0,"&gt;","&lt;")</f>
        <v>&gt;</v>
      </c>
      <c r="F86" s="38">
        <f>O76</f>
        <v>18877.142857142899</v>
      </c>
      <c r="G86" s="38" t="str">
        <f>IF(D86&lt;F86,"不满足","满足")</f>
        <v>满足</v>
      </c>
      <c r="I86" s="66"/>
      <c r="L86" s="12">
        <v>1.7</v>
      </c>
      <c r="M86" s="98">
        <v>4.0000000000000001E-3</v>
      </c>
      <c r="Q86" s="12" t="s">
        <v>1206</v>
      </c>
      <c r="R86" s="12">
        <f>IF((1-1.5*R82)&lt;0.9,1-1.5*R82,0.9)</f>
        <v>0.85299459538953604</v>
      </c>
    </row>
    <row r="87" spans="1:18" s="12" customFormat="1" ht="24.75" customHeight="1">
      <c r="A87" s="19"/>
      <c r="C87" s="12" t="s">
        <v>1207</v>
      </c>
      <c r="D87" s="83">
        <f>D82/D83</f>
        <v>4.8677867056245404E-3</v>
      </c>
      <c r="E87" s="22" t="str">
        <f>IF(D87-F87&gt;0,"&gt;","&lt;")</f>
        <v>&gt;</v>
      </c>
      <c r="F87" s="83">
        <f>LOOKUP(E3,L66:M89)</f>
        <v>3.0000000000000001E-3</v>
      </c>
      <c r="G87" s="38" t="str">
        <f>IF(D87&lt;F87,"不满足","满足")</f>
        <v>满足</v>
      </c>
      <c r="I87" s="66"/>
      <c r="L87" s="12">
        <v>1.8</v>
      </c>
      <c r="M87" s="98">
        <v>4.0000000000000001E-3</v>
      </c>
      <c r="N87" s="99" t="str">
        <f>IF(G85="不满足","1","")</f>
        <v/>
      </c>
      <c r="Q87" s="12" t="s">
        <v>1208</v>
      </c>
      <c r="R87" s="12">
        <f>SIN(RADIANS(R86*180))</f>
        <v>0.44558812276420501</v>
      </c>
    </row>
    <row r="88" spans="1:18" s="12" customFormat="1" ht="24.75" customHeight="1">
      <c r="A88" s="19"/>
      <c r="I88" s="66"/>
      <c r="L88" s="12">
        <v>1.9</v>
      </c>
      <c r="M88" s="98">
        <v>3.0000000000000001E-3</v>
      </c>
      <c r="N88" s="99" t="str">
        <f>IF(G87="不满足","1","")</f>
        <v/>
      </c>
      <c r="Q88" s="12" t="s">
        <v>1209</v>
      </c>
      <c r="R88" s="12">
        <f>R87+R84</f>
        <v>0.74863417952209299</v>
      </c>
    </row>
    <row r="89" spans="1:18" s="12" customFormat="1" ht="24.75" customHeight="1">
      <c r="A89" s="78" t="s">
        <v>1210</v>
      </c>
      <c r="B89" s="47"/>
      <c r="C89" s="47" t="s">
        <v>1211</v>
      </c>
      <c r="D89" s="47"/>
      <c r="E89" s="47" t="s">
        <v>1212</v>
      </c>
      <c r="F89" s="47"/>
      <c r="G89" s="47" t="s">
        <v>1213</v>
      </c>
      <c r="H89" s="47"/>
      <c r="I89" s="84"/>
      <c r="L89" s="12">
        <v>2</v>
      </c>
      <c r="M89" s="98">
        <v>3.0000000000000001E-3</v>
      </c>
    </row>
    <row r="90" spans="1:18" s="12" customFormat="1" ht="24.75" customHeight="1"/>
    <row r="91" spans="1:18" s="12" customFormat="1" ht="24.75" customHeight="1"/>
    <row r="92" spans="1:18" s="12" customFormat="1" ht="24.75" customHeight="1"/>
    <row r="93" spans="1:18" s="12" customFormat="1" ht="24.75" customHeight="1"/>
    <row r="94" spans="1:18" s="12" customFormat="1" ht="24.75" customHeight="1"/>
    <row r="95" spans="1:18" s="12" customFormat="1" ht="24.75" customHeight="1"/>
    <row r="96" spans="1:18" s="12" customFormat="1" ht="24.75" customHeight="1"/>
    <row r="97" s="12" customFormat="1" ht="24.75" customHeight="1"/>
    <row r="98" s="12" customFormat="1" ht="24.75" customHeight="1"/>
    <row r="99" s="12" customFormat="1" ht="24.75" customHeight="1"/>
    <row r="100" s="12" customFormat="1" ht="24.75" customHeight="1"/>
    <row r="101" s="12" customFormat="1" ht="24.75" customHeight="1"/>
  </sheetData>
  <protectedRanges>
    <protectedRange sqref="I12:L12" name="区域1_1"/>
    <protectedRange sqref="D74:D75" name="区域1_4"/>
  </protectedRanges>
  <mergeCells count="17">
    <mergeCell ref="A42:I42"/>
    <mergeCell ref="B43:I43"/>
    <mergeCell ref="A51:I51"/>
    <mergeCell ref="B72:I72"/>
    <mergeCell ref="M42:M43"/>
    <mergeCell ref="A4:B4"/>
    <mergeCell ref="A5:B5"/>
    <mergeCell ref="A6:B6"/>
    <mergeCell ref="A7:B7"/>
    <mergeCell ref="A14:I14"/>
    <mergeCell ref="A1:I1"/>
    <mergeCell ref="A2:B2"/>
    <mergeCell ref="W2:X2"/>
    <mergeCell ref="AA2:AB2"/>
    <mergeCell ref="A3:B3"/>
    <mergeCell ref="W3:X3"/>
    <mergeCell ref="AA3:AB3"/>
  </mergeCells>
  <phoneticPr fontId="80" type="noConversion"/>
  <conditionalFormatting sqref="A14:L14">
    <cfRule type="expression" dxfId="33" priority="3" stopIfTrue="1">
      <formula>NOT(ISERROR(SEARCH("桩与入土深度不符",A14)))</formula>
    </cfRule>
  </conditionalFormatting>
  <conditionalFormatting sqref="A42:L42">
    <cfRule type="expression" dxfId="32" priority="4" stopIfTrue="1">
      <formula>NOT(ISERROR(SEARCH("单桩承载力不满足要求",A42)))</formula>
    </cfRule>
  </conditionalFormatting>
  <conditionalFormatting sqref="A51:L51">
    <cfRule type="expression" dxfId="31" priority="6" stopIfTrue="1">
      <formula>NOT(ISERROR(SEARCH("短柱抗倾覆不满足要求",A51)))</formula>
    </cfRule>
    <cfRule type="expression" dxfId="30" priority="7" stopIfTrue="1">
      <formula>NOT(ISERROR(SEARCH("短柱抗倾覆不满足要求",A51)))</formula>
    </cfRule>
  </conditionalFormatting>
  <conditionalFormatting sqref="B72:L72">
    <cfRule type="expression" dxfId="29" priority="8" stopIfTrue="1">
      <formula>NOT(ISERROR(SEARCH("位移不满足要求",B72)))</formula>
    </cfRule>
    <cfRule type="expression" dxfId="28" priority="9" stopIfTrue="1">
      <formula>NOT(ISERROR(SEARCH("位移不满足要求",B72)))</formula>
    </cfRule>
  </conditionalFormatting>
  <conditionalFormatting sqref="D28:D29">
    <cfRule type="expression" dxfId="27" priority="2" stopIfTrue="1">
      <formula>NOT(ISERROR(SEARCH("否",D28)))</formula>
    </cfRule>
  </conditionalFormatting>
  <conditionalFormatting sqref="G44">
    <cfRule type="expression" dxfId="26" priority="5" stopIfTrue="1">
      <formula>NOT(ISERROR(SEARCH("不满足",G44)))</formula>
    </cfRule>
  </conditionalFormatting>
  <conditionalFormatting sqref="G85:G87">
    <cfRule type="expression" dxfId="25" priority="1" stopIfTrue="1">
      <formula>NOT(ISERROR(SEARCH("不满足",G85)))</formula>
    </cfRule>
  </conditionalFormatting>
  <conditionalFormatting sqref="I1 F1:H10 A1:E11 I5:I10 F11:I11">
    <cfRule type="expression" dxfId="24" priority="10" stopIfTrue="1">
      <formula>$I$2</formula>
    </cfRule>
  </conditionalFormatting>
  <conditionalFormatting sqref="I2">
    <cfRule type="expression" dxfId="23" priority="11" stopIfTrue="1">
      <formula>$I$2="位移不满足"</formula>
    </cfRule>
  </conditionalFormatting>
  <conditionalFormatting sqref="I3">
    <cfRule type="expression" dxfId="22" priority="12" stopIfTrue="1">
      <formula>$I$3="强度超标"</formula>
    </cfRule>
  </conditionalFormatting>
  <conditionalFormatting sqref="I4">
    <cfRule type="expression" dxfId="21" priority="13" stopIfTrue="1">
      <formula>$I$4="配筋率不够"</formula>
    </cfRule>
  </conditionalFormatting>
  <dataValidations count="4">
    <dataValidation type="list" allowBlank="1" showInputMessage="1" showErrorMessage="1" sqref="C5" xr:uid="{00000000-0002-0000-1500-000000000000}">
      <formula1>$O$9:$O$13</formula1>
    </dataValidation>
    <dataValidation type="list" allowBlank="1" showInputMessage="1" showErrorMessage="1" sqref="C7" xr:uid="{00000000-0002-0000-1500-000001000000}">
      <formula1>"直线杆,非直线杆"</formula1>
    </dataValidation>
    <dataValidation type="list" allowBlank="1" showInputMessage="1" showErrorMessage="1" sqref="D32" xr:uid="{00000000-0002-0000-1500-000002000000}">
      <formula1>"黏性土,砂土"</formula1>
    </dataValidation>
    <dataValidation type="list" allowBlank="1" showInputMessage="1" showErrorMessage="1" sqref="E6:E7" xr:uid="{00000000-0002-0000-1500-000003000000}">
      <formula1>$O$16:$O$18</formula1>
    </dataValidation>
  </dataValidation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AG97"/>
  <sheetViews>
    <sheetView workbookViewId="0">
      <selection activeCell="L11" sqref="L11"/>
    </sheetView>
  </sheetViews>
  <sheetFormatPr defaultColWidth="17.5" defaultRowHeight="14.25"/>
  <cols>
    <col min="1" max="1" width="6" style="1" customWidth="1"/>
    <col min="2" max="3" width="10.875" style="1" customWidth="1"/>
    <col min="4" max="4" width="8.25" style="1" customWidth="1"/>
    <col min="5" max="6" width="12.375" style="1" customWidth="1"/>
    <col min="7" max="7" width="10" style="1" customWidth="1"/>
    <col min="8" max="11" width="10.625" style="1" customWidth="1"/>
    <col min="12" max="20" width="10.875" style="1" customWidth="1"/>
    <col min="21" max="21" width="11.5" style="1" customWidth="1"/>
    <col min="22" max="22" width="17.5" style="1" customWidth="1"/>
    <col min="23" max="23" width="6.625" style="1" customWidth="1"/>
    <col min="24" max="24" width="10.875" style="1" customWidth="1"/>
    <col min="25" max="25" width="14.125" style="1" customWidth="1"/>
    <col min="26" max="26" width="10.5" style="1" customWidth="1"/>
    <col min="27" max="27" width="8.5" style="1" customWidth="1"/>
    <col min="28" max="28" width="6.5" style="1" customWidth="1"/>
    <col min="29" max="29" width="9.875" style="1" customWidth="1"/>
    <col min="30" max="30" width="11.125" style="1" customWidth="1"/>
    <col min="31" max="37" width="17.5" style="1" customWidth="1"/>
    <col min="38" max="16384" width="17.5" style="1"/>
  </cols>
  <sheetData>
    <row r="1" spans="1:33" ht="35.25" customHeight="1">
      <c r="A1" s="454" t="s">
        <v>1053</v>
      </c>
      <c r="B1" s="454"/>
      <c r="C1" s="454"/>
      <c r="D1" s="454"/>
      <c r="E1" s="454"/>
      <c r="F1" s="454"/>
      <c r="G1" s="454"/>
      <c r="H1" s="454"/>
      <c r="I1" s="454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33" ht="26.25" customHeight="1">
      <c r="A2" s="455" t="s">
        <v>1054</v>
      </c>
      <c r="B2" s="456"/>
      <c r="C2" s="16">
        <v>12</v>
      </c>
      <c r="D2" s="15" t="s">
        <v>1055</v>
      </c>
      <c r="E2" s="16">
        <v>2</v>
      </c>
      <c r="F2" s="17" t="s">
        <v>36</v>
      </c>
      <c r="G2" s="18"/>
      <c r="H2" s="18"/>
      <c r="I2" s="54" t="str">
        <f>IF(B68="位移不满足要求","位移不满足","")</f>
        <v/>
      </c>
      <c r="J2" s="55"/>
      <c r="K2" s="1" t="s">
        <v>853</v>
      </c>
    </row>
    <row r="3" spans="1:33" ht="26.25" customHeight="1">
      <c r="A3" s="458" t="s">
        <v>1058</v>
      </c>
      <c r="B3" s="452"/>
      <c r="C3" s="20">
        <v>6</v>
      </c>
      <c r="D3" s="12" t="s">
        <v>1059</v>
      </c>
      <c r="E3" s="20">
        <v>0.3</v>
      </c>
      <c r="F3" s="21" t="s">
        <v>36</v>
      </c>
      <c r="H3" s="21"/>
      <c r="I3" s="56"/>
      <c r="J3" s="57"/>
      <c r="K3" s="1" t="s">
        <v>855</v>
      </c>
    </row>
    <row r="4" spans="1:33" ht="26.25" customHeight="1">
      <c r="A4" s="458" t="s">
        <v>1062</v>
      </c>
      <c r="B4" s="452"/>
      <c r="C4" s="20">
        <v>12</v>
      </c>
      <c r="D4" s="12" t="s">
        <v>1214</v>
      </c>
      <c r="E4" s="20">
        <v>0</v>
      </c>
      <c r="F4" s="21" t="s">
        <v>36</v>
      </c>
      <c r="H4" s="21"/>
      <c r="I4" s="56"/>
    </row>
    <row r="5" spans="1:33" ht="26.25" customHeight="1">
      <c r="A5" s="459" t="s">
        <v>1069</v>
      </c>
      <c r="B5" s="460"/>
      <c r="C5" s="20">
        <v>11</v>
      </c>
      <c r="D5" s="12" t="s">
        <v>1215</v>
      </c>
      <c r="I5" s="56"/>
      <c r="M5" s="12"/>
    </row>
    <row r="6" spans="1:33" ht="26.25" customHeight="1">
      <c r="A6" s="23"/>
      <c r="D6" s="12" t="s">
        <v>1215</v>
      </c>
      <c r="E6" s="12"/>
      <c r="F6" s="12"/>
      <c r="G6" s="12"/>
      <c r="I6" s="56"/>
      <c r="M6" s="12"/>
    </row>
    <row r="7" spans="1:33" ht="26.25" customHeight="1">
      <c r="A7" s="24" t="s">
        <v>1075</v>
      </c>
      <c r="B7" s="25" t="s">
        <v>1076</v>
      </c>
      <c r="C7" s="25" t="s">
        <v>1077</v>
      </c>
      <c r="D7" s="25" t="s">
        <v>1078</v>
      </c>
      <c r="E7" s="26" t="s">
        <v>1079</v>
      </c>
      <c r="F7" s="26" t="s">
        <v>1080</v>
      </c>
      <c r="G7" s="26" t="s">
        <v>1081</v>
      </c>
      <c r="H7" s="26" t="s">
        <v>1082</v>
      </c>
      <c r="I7" s="58" t="s">
        <v>1083</v>
      </c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W7" s="12"/>
      <c r="X7" s="12" t="s">
        <v>1084</v>
      </c>
      <c r="Y7" s="12" t="s">
        <v>1085</v>
      </c>
      <c r="Z7" s="12" t="s">
        <v>1086</v>
      </c>
      <c r="AA7" s="12" t="s">
        <v>1087</v>
      </c>
    </row>
    <row r="8" spans="1:33" ht="26.25" customHeight="1">
      <c r="A8" s="24">
        <v>1</v>
      </c>
      <c r="B8" s="27">
        <v>2</v>
      </c>
      <c r="C8" s="27"/>
      <c r="D8" s="27">
        <v>35</v>
      </c>
      <c r="E8" s="27">
        <v>14000</v>
      </c>
      <c r="F8" s="27">
        <v>50</v>
      </c>
      <c r="G8" s="27">
        <v>400</v>
      </c>
      <c r="H8" s="27">
        <v>0.83299999999999996</v>
      </c>
      <c r="I8" s="60">
        <v>0</v>
      </c>
      <c r="J8" s="61"/>
      <c r="K8" s="61"/>
      <c r="L8"/>
      <c r="M8"/>
      <c r="N8"/>
      <c r="O8"/>
      <c r="P8"/>
      <c r="Q8"/>
      <c r="R8"/>
      <c r="S8"/>
      <c r="T8"/>
      <c r="W8" s="12" t="s">
        <v>1088</v>
      </c>
      <c r="X8" s="12">
        <v>9.6</v>
      </c>
      <c r="Y8" s="12">
        <v>11</v>
      </c>
      <c r="Z8" s="12">
        <v>1.1000000000000001</v>
      </c>
      <c r="AA8" s="12">
        <v>25500</v>
      </c>
      <c r="AB8" s="12"/>
    </row>
    <row r="9" spans="1:33" ht="26.25" customHeight="1">
      <c r="A9" s="24">
        <v>2</v>
      </c>
      <c r="B9" s="27"/>
      <c r="C9" s="27"/>
      <c r="D9" s="27"/>
      <c r="E9" s="27"/>
      <c r="F9" s="27"/>
      <c r="G9" s="27"/>
      <c r="H9" s="27"/>
      <c r="I9" s="60"/>
      <c r="J9" s="61"/>
      <c r="K9" s="61"/>
      <c r="L9"/>
      <c r="M9"/>
      <c r="N9"/>
      <c r="O9"/>
      <c r="P9"/>
      <c r="Q9"/>
      <c r="R9"/>
      <c r="S9"/>
      <c r="T9"/>
      <c r="U9" s="70" t="s">
        <v>1089</v>
      </c>
      <c r="V9" s="1">
        <f>(E8*B8^2+E9*(2*B8+B9)*B9)/(B8+B9)^2</f>
        <v>14000</v>
      </c>
      <c r="W9" s="12" t="s">
        <v>1066</v>
      </c>
      <c r="X9" s="12">
        <v>11.9</v>
      </c>
      <c r="Y9" s="12">
        <v>13.5</v>
      </c>
      <c r="Z9" s="12">
        <v>1.27</v>
      </c>
      <c r="AA9" s="12">
        <v>28000</v>
      </c>
      <c r="AB9" s="12"/>
    </row>
    <row r="10" spans="1:33" ht="26.25" customHeight="1">
      <c r="A10" s="24">
        <v>3</v>
      </c>
      <c r="B10" s="27"/>
      <c r="C10" s="27"/>
      <c r="D10" s="27"/>
      <c r="E10" s="27"/>
      <c r="F10" s="27"/>
      <c r="G10" s="27"/>
      <c r="H10" s="27"/>
      <c r="I10" s="60"/>
      <c r="J10" s="61"/>
      <c r="K10" s="61"/>
      <c r="L10"/>
      <c r="M10"/>
      <c r="N10"/>
      <c r="O10"/>
      <c r="P10"/>
      <c r="Q10"/>
      <c r="R10"/>
      <c r="S10"/>
      <c r="T10"/>
      <c r="U10" s="70" t="s">
        <v>1090</v>
      </c>
      <c r="V10" s="1">
        <f>((E8*B8^2+E9*(2*B8+B9)*B9)+E10*(2*B8+2*B9+B10)*B10)/(B8+B9+B10)^2</f>
        <v>14000</v>
      </c>
      <c r="W10" s="12" t="s">
        <v>1091</v>
      </c>
      <c r="X10" s="12">
        <v>14.3</v>
      </c>
      <c r="Y10" s="12">
        <v>16.5</v>
      </c>
      <c r="Z10" s="12">
        <v>1.53</v>
      </c>
      <c r="AA10" s="12">
        <v>30000</v>
      </c>
      <c r="AB10" s="12"/>
    </row>
    <row r="11" spans="1:33" ht="26.25" customHeight="1">
      <c r="A11" s="24"/>
      <c r="B11" s="27"/>
      <c r="C11" s="27"/>
      <c r="D11" s="27"/>
      <c r="E11" s="27"/>
      <c r="F11" s="28"/>
      <c r="G11" s="27"/>
      <c r="H11" s="27"/>
      <c r="I11" s="60"/>
      <c r="J11" s="61"/>
      <c r="K11" s="61"/>
      <c r="L11"/>
      <c r="M11"/>
      <c r="N11"/>
      <c r="O11"/>
      <c r="P11"/>
      <c r="Q11"/>
      <c r="R11"/>
      <c r="S11"/>
      <c r="T11"/>
      <c r="W11" s="12" t="s">
        <v>1092</v>
      </c>
      <c r="X11" s="12">
        <v>16.7</v>
      </c>
      <c r="Y11" s="12">
        <v>19</v>
      </c>
      <c r="Z11" s="12">
        <v>1.57</v>
      </c>
      <c r="AA11" s="12">
        <v>31500</v>
      </c>
      <c r="AB11" s="12"/>
    </row>
    <row r="12" spans="1:33" ht="26.25" customHeight="1">
      <c r="A12" s="29" t="s">
        <v>1093</v>
      </c>
      <c r="B12" s="30">
        <f>SUM(B8:B11)</f>
        <v>2</v>
      </c>
      <c r="C12" s="31">
        <f>SUMPRODUCT(B8:B10,C8:C10)/SUM(B8:B10)</f>
        <v>0</v>
      </c>
      <c r="D12" s="32">
        <f>SUMPRODUCT(B8:B10,D8:D10)/SUM(B8:B10)</f>
        <v>35</v>
      </c>
      <c r="E12" s="33">
        <f>SUMPRODUCT($B$8:$B$11,E8:E11)/SUM($B$8:$B$11)</f>
        <v>14000</v>
      </c>
      <c r="F12" s="34" t="s">
        <v>1094</v>
      </c>
      <c r="G12" s="35">
        <f>SUM(G8:G11)</f>
        <v>400</v>
      </c>
      <c r="H12" s="35" t="s">
        <v>1094</v>
      </c>
      <c r="I12" s="62" t="s">
        <v>1094</v>
      </c>
      <c r="J12" s="63"/>
      <c r="K12" s="63"/>
      <c r="L12"/>
      <c r="M12"/>
      <c r="N12"/>
      <c r="O12"/>
      <c r="P12"/>
      <c r="Q12"/>
      <c r="R12"/>
      <c r="S12"/>
      <c r="T12"/>
      <c r="V12" s="12"/>
      <c r="W12" s="12" t="s">
        <v>1095</v>
      </c>
      <c r="X12" s="12">
        <v>19.100000000000001</v>
      </c>
      <c r="Y12" s="12">
        <v>21.5</v>
      </c>
      <c r="Z12" s="12">
        <v>1.71</v>
      </c>
      <c r="AA12" s="12">
        <v>32500</v>
      </c>
      <c r="AB12" s="12"/>
      <c r="AC12" s="12"/>
    </row>
    <row r="13" spans="1:33" ht="21.75" customHeight="1">
      <c r="A13" s="463" t="str">
        <f>IF(B12=E2,"","桩与入土深度不符")</f>
        <v/>
      </c>
      <c r="B13" s="464"/>
      <c r="C13" s="464"/>
      <c r="D13" s="464"/>
      <c r="E13" s="464"/>
      <c r="F13" s="464"/>
      <c r="G13" s="464"/>
      <c r="H13" s="464"/>
      <c r="I13" s="465"/>
      <c r="J13" s="64"/>
      <c r="K13" s="64"/>
      <c r="L13"/>
      <c r="M13"/>
      <c r="N13"/>
      <c r="O13"/>
      <c r="P13"/>
      <c r="Q13"/>
      <c r="R13"/>
      <c r="S13"/>
      <c r="T13"/>
      <c r="V13" s="12"/>
      <c r="W13" s="12"/>
      <c r="X13" s="12"/>
      <c r="Y13" s="12"/>
      <c r="Z13" s="12"/>
      <c r="AA13" s="12"/>
      <c r="AB13" s="12"/>
      <c r="AC13" s="12"/>
      <c r="AF13" s="1" t="s">
        <v>1096</v>
      </c>
      <c r="AG13" s="1">
        <v>10</v>
      </c>
    </row>
    <row r="14" spans="1:33" ht="26.25" customHeight="1">
      <c r="A14" s="36" t="s">
        <v>1097</v>
      </c>
      <c r="B14" s="37" t="s">
        <v>1098</v>
      </c>
      <c r="C14" s="37"/>
      <c r="I14" s="56"/>
      <c r="V14" s="12"/>
      <c r="W14" s="12"/>
      <c r="X14" s="12" t="s">
        <v>1099</v>
      </c>
      <c r="Y14" s="12"/>
      <c r="Z14" s="12" t="s">
        <v>1100</v>
      </c>
      <c r="AA14" s="12"/>
      <c r="AB14" s="12"/>
      <c r="AC14" s="12"/>
      <c r="AF14" s="39" t="s">
        <v>1101</v>
      </c>
      <c r="AG14" s="77">
        <f>IF(AG15/1000&gt;1,0.9*(AG15/1000+1),0.9*(1.5*AG15/1000+0.5))</f>
        <v>1.98</v>
      </c>
    </row>
    <row r="15" spans="1:33" ht="26.25" customHeight="1">
      <c r="A15" s="36"/>
      <c r="B15" s="37"/>
      <c r="C15" s="37" t="s">
        <v>1102</v>
      </c>
      <c r="D15" s="38">
        <f>2*(E3+1)</f>
        <v>2.6</v>
      </c>
      <c r="I15" s="56"/>
      <c r="V15" s="12"/>
      <c r="W15" s="12" t="s">
        <v>1103</v>
      </c>
      <c r="X15" s="12">
        <v>210</v>
      </c>
      <c r="Y15" s="12"/>
      <c r="Z15" s="12">
        <v>210000</v>
      </c>
      <c r="AA15" s="12"/>
      <c r="AB15" s="12"/>
      <c r="AC15" s="12"/>
      <c r="AF15" s="1" t="s">
        <v>1104</v>
      </c>
      <c r="AG15" s="1">
        <v>1200</v>
      </c>
    </row>
    <row r="16" spans="1:33" ht="26.25" customHeight="1">
      <c r="A16" s="23"/>
      <c r="C16" s="39" t="s">
        <v>1109</v>
      </c>
      <c r="D16" s="38">
        <v>200000</v>
      </c>
      <c r="E16" s="40" t="s">
        <v>1106</v>
      </c>
      <c r="G16" s="39"/>
      <c r="H16" s="39"/>
      <c r="I16" s="56"/>
      <c r="V16" s="12"/>
      <c r="W16" s="12" t="s">
        <v>1071</v>
      </c>
      <c r="X16" s="12">
        <v>360</v>
      </c>
      <c r="Y16" s="12"/>
      <c r="Z16" s="12">
        <v>200000</v>
      </c>
      <c r="AA16" s="12"/>
      <c r="AB16" s="12"/>
      <c r="AC16" s="12"/>
      <c r="AF16" s="39" t="s">
        <v>1110</v>
      </c>
      <c r="AG16" s="38">
        <v>200000</v>
      </c>
    </row>
    <row r="17" spans="1:32" ht="26.25" customHeight="1">
      <c r="A17" s="23"/>
      <c r="B17" s="39"/>
      <c r="C17" s="39" t="s">
        <v>1115</v>
      </c>
      <c r="D17" s="20">
        <v>1.2310891857066699E-5</v>
      </c>
      <c r="E17" s="41" t="s">
        <v>1116</v>
      </c>
      <c r="F17" s="1">
        <v>12310891.8570667</v>
      </c>
      <c r="G17" s="1" t="s">
        <v>151</v>
      </c>
      <c r="H17" s="1">
        <f>F17/1000000000000</f>
        <v>1.2310891857066699E-5</v>
      </c>
      <c r="I17" s="56" t="s">
        <v>1216</v>
      </c>
      <c r="V17" s="12"/>
      <c r="W17" s="12"/>
      <c r="X17" s="12"/>
      <c r="Y17" s="12"/>
      <c r="Z17" s="12"/>
      <c r="AA17" s="12"/>
      <c r="AB17" s="12"/>
      <c r="AC17" s="12"/>
      <c r="AF17" s="1" t="e">
        <f>AG13/#REF!</f>
        <v>#REF!</v>
      </c>
    </row>
    <row r="18" spans="1:32" ht="26.25" customHeight="1">
      <c r="A18" s="23"/>
      <c r="B18" s="39"/>
      <c r="C18" s="39" t="s">
        <v>1117</v>
      </c>
      <c r="D18" s="38">
        <f>D16*D17*1000</f>
        <v>2462.1783714133398</v>
      </c>
      <c r="E18" s="41" t="s">
        <v>1118</v>
      </c>
      <c r="F18" s="1">
        <v>5964801.46353334</v>
      </c>
      <c r="G18" s="1" t="s">
        <v>151</v>
      </c>
      <c r="H18" s="1">
        <f>F18/1000000000000</f>
        <v>5.9648014635333402E-6</v>
      </c>
      <c r="I18" s="56" t="s">
        <v>1217</v>
      </c>
      <c r="V18" s="12"/>
      <c r="W18" s="12"/>
      <c r="X18" s="12"/>
      <c r="Y18" s="12"/>
      <c r="Z18" s="12"/>
      <c r="AA18" s="12"/>
      <c r="AB18" s="12"/>
      <c r="AC18" s="12"/>
    </row>
    <row r="19" spans="1:32" ht="24.75" customHeight="1">
      <c r="A19" s="23"/>
      <c r="B19" s="39"/>
      <c r="C19" s="39" t="s">
        <v>1119</v>
      </c>
      <c r="D19" s="38">
        <f>E12</f>
        <v>14000</v>
      </c>
      <c r="E19" s="21" t="s">
        <v>1038</v>
      </c>
      <c r="F19" s="1">
        <v>32048039.590399999</v>
      </c>
      <c r="G19" s="1" t="s">
        <v>151</v>
      </c>
      <c r="H19" s="1">
        <f>F19/1000000000000</f>
        <v>3.2048039590399998E-5</v>
      </c>
      <c r="I19" s="56" t="s">
        <v>1218</v>
      </c>
      <c r="V19" s="12"/>
      <c r="W19" s="12"/>
      <c r="X19" s="12"/>
      <c r="Y19" s="12"/>
      <c r="Z19" s="12"/>
      <c r="AA19" s="12"/>
      <c r="AB19" s="12"/>
      <c r="AC19" s="12"/>
    </row>
    <row r="20" spans="1:32" ht="24.75" customHeight="1">
      <c r="A20" s="23"/>
      <c r="C20" s="39" t="s">
        <v>1101</v>
      </c>
      <c r="D20" s="38">
        <f>IF(E3&gt;1,E3+1,1.5*E3+0.5)</f>
        <v>0.95</v>
      </c>
      <c r="E20" s="42" t="s">
        <v>36</v>
      </c>
      <c r="I20" s="56"/>
      <c r="V20" s="12"/>
      <c r="W20" s="12"/>
      <c r="X20" s="12"/>
      <c r="Y20" s="12"/>
      <c r="Z20" s="12"/>
      <c r="AA20" s="12"/>
      <c r="AB20" s="12"/>
      <c r="AC20" s="12"/>
    </row>
    <row r="21" spans="1:32" ht="24.75" customHeight="1">
      <c r="A21" s="23"/>
      <c r="C21" s="39" t="s">
        <v>1120</v>
      </c>
      <c r="D21" s="38">
        <f>(D20*D19/D18)^0.2</f>
        <v>1.4012203171497799</v>
      </c>
      <c r="I21" s="56"/>
      <c r="V21" s="12"/>
      <c r="W21" s="12"/>
      <c r="X21" s="12"/>
      <c r="Y21" s="12"/>
      <c r="Z21" s="12"/>
      <c r="AA21" s="12"/>
      <c r="AB21" s="12"/>
      <c r="AC21" s="12"/>
    </row>
    <row r="22" spans="1:32" ht="24.75" customHeight="1">
      <c r="A22" s="23"/>
      <c r="C22" s="39" t="s">
        <v>1121</v>
      </c>
      <c r="D22" s="38">
        <f>D21*E2</f>
        <v>2.80244063429955</v>
      </c>
      <c r="I22" s="56"/>
      <c r="V22" s="12"/>
      <c r="W22" s="12"/>
      <c r="X22" s="12"/>
      <c r="Y22" s="12"/>
      <c r="Z22" s="12"/>
      <c r="AA22" s="12"/>
      <c r="AB22" s="12"/>
      <c r="AC22" s="12"/>
    </row>
    <row r="23" spans="1:32" ht="24.75" customHeight="1">
      <c r="A23" s="23"/>
      <c r="C23" s="39" t="s">
        <v>1122</v>
      </c>
      <c r="D23" s="38">
        <f>2.5/D21</f>
        <v>1.7841591143106299</v>
      </c>
      <c r="E23" s="43" t="str">
        <f>IF(D23-F23&gt;0,"&gt;","&lt;")</f>
        <v>&lt;</v>
      </c>
      <c r="F23" s="44">
        <f>E2</f>
        <v>2</v>
      </c>
      <c r="G23" s="21" t="s">
        <v>1123</v>
      </c>
      <c r="I23" s="56"/>
      <c r="V23" s="12"/>
      <c r="W23" s="12"/>
      <c r="X23" s="12"/>
      <c r="Y23" s="12"/>
      <c r="Z23" s="12"/>
      <c r="AA23" s="12"/>
      <c r="AB23" s="12"/>
      <c r="AC23" s="12"/>
    </row>
    <row r="24" spans="1:32" ht="24.75" customHeight="1">
      <c r="A24" s="23"/>
      <c r="B24" s="12" t="s">
        <v>1124</v>
      </c>
      <c r="C24" s="12" t="s">
        <v>1125</v>
      </c>
      <c r="D24" s="38" t="str">
        <f>IF(E23="&gt;","刚性桩","弹性桩")</f>
        <v>弹性桩</v>
      </c>
      <c r="I24" s="56"/>
      <c r="V24" s="12"/>
      <c r="W24" s="12"/>
      <c r="X24" s="12"/>
      <c r="Y24" s="12"/>
      <c r="Z24" s="12"/>
      <c r="AA24" s="12"/>
      <c r="AB24" s="12"/>
      <c r="AC24" s="12"/>
    </row>
    <row r="25" spans="1:32" ht="24.75" customHeight="1">
      <c r="A25" s="45"/>
      <c r="B25" s="46"/>
      <c r="C25" s="47"/>
      <c r="D25" s="47"/>
      <c r="E25" s="46"/>
      <c r="F25" s="46"/>
      <c r="G25" s="46"/>
      <c r="H25" s="46"/>
      <c r="I25" s="65"/>
      <c r="V25" s="12"/>
      <c r="W25" s="12"/>
      <c r="X25" s="12"/>
      <c r="Y25" s="12"/>
      <c r="Z25" s="12"/>
      <c r="AA25" s="12"/>
      <c r="AB25" s="12"/>
      <c r="AC25" s="12"/>
    </row>
    <row r="26" spans="1:32" ht="24.75" customHeight="1">
      <c r="A26" s="19"/>
      <c r="B26" s="12"/>
      <c r="C26" s="12"/>
      <c r="D26" s="12"/>
      <c r="E26" s="12"/>
      <c r="F26" s="12"/>
      <c r="G26" s="12"/>
      <c r="H26" s="12"/>
      <c r="I26" s="66"/>
      <c r="V26" s="12"/>
      <c r="W26" s="12"/>
      <c r="X26" s="12"/>
      <c r="Y26" s="12"/>
      <c r="Z26" s="12"/>
      <c r="AA26" s="12"/>
      <c r="AB26" s="12"/>
      <c r="AC26" s="12"/>
    </row>
    <row r="27" spans="1:32" s="12" customFormat="1" ht="24.75" customHeight="1">
      <c r="A27" s="19"/>
      <c r="I27" s="66"/>
    </row>
    <row r="28" spans="1:32" s="12" customFormat="1" ht="24.75" customHeight="1">
      <c r="A28" s="19"/>
      <c r="I28" s="66"/>
    </row>
    <row r="29" spans="1:32" s="12" customFormat="1" ht="24.75" customHeight="1">
      <c r="A29" s="19"/>
      <c r="I29" s="66"/>
    </row>
    <row r="30" spans="1:32" s="12" customFormat="1" ht="24.75" customHeight="1">
      <c r="A30" s="19"/>
      <c r="I30" s="66"/>
      <c r="V30" s="71" t="s">
        <v>1135</v>
      </c>
      <c r="W30" s="72" t="s">
        <v>1136</v>
      </c>
      <c r="X30" s="72" t="s">
        <v>1137</v>
      </c>
      <c r="Y30" s="72" t="s">
        <v>1138</v>
      </c>
      <c r="Z30" s="72" t="s">
        <v>1139</v>
      </c>
      <c r="AA30" s="72"/>
      <c r="AB30" s="72"/>
    </row>
    <row r="31" spans="1:32" s="12" customFormat="1" ht="24.75" customHeight="1">
      <c r="A31" s="19"/>
      <c r="I31" s="66"/>
      <c r="V31" s="73">
        <v>2.4</v>
      </c>
      <c r="W31" s="73">
        <v>3.5259999999999998</v>
      </c>
      <c r="X31" s="73">
        <v>0.60099999999999998</v>
      </c>
      <c r="Y31" s="73">
        <v>2.327</v>
      </c>
      <c r="Z31" s="73">
        <v>2.2269999999999999</v>
      </c>
      <c r="AA31" s="73">
        <v>10.064</v>
      </c>
      <c r="AB31" s="73">
        <v>5.4089999999999998</v>
      </c>
    </row>
    <row r="32" spans="1:32" s="12" customFormat="1" ht="24.75" customHeight="1">
      <c r="A32" s="19"/>
      <c r="I32" s="66"/>
      <c r="V32" s="73">
        <v>2.6</v>
      </c>
      <c r="W32" s="73">
        <v>3.1629999999999998</v>
      </c>
      <c r="X32" s="73">
        <v>0.63900000000000001</v>
      </c>
      <c r="Y32" s="73">
        <v>2.048</v>
      </c>
      <c r="Z32" s="73">
        <v>2.0129999999999999</v>
      </c>
      <c r="AA32" s="73">
        <v>11.670999999999999</v>
      </c>
      <c r="AB32" s="73">
        <v>6.3680000000000003</v>
      </c>
    </row>
    <row r="33" spans="1:31" s="12" customFormat="1" ht="24.75" customHeight="1">
      <c r="A33" s="19"/>
      <c r="I33" s="66"/>
      <c r="V33" s="73">
        <v>2.8</v>
      </c>
      <c r="W33" s="73">
        <v>2.9049999999999998</v>
      </c>
      <c r="X33" s="73">
        <v>0.67500000000000004</v>
      </c>
      <c r="Y33" s="73">
        <v>1.869</v>
      </c>
      <c r="Z33" s="73">
        <v>1.889</v>
      </c>
      <c r="AA33" s="73">
        <v>13.003</v>
      </c>
      <c r="AB33" s="73">
        <v>7.1760000000000002</v>
      </c>
    </row>
    <row r="34" spans="1:31" s="12" customFormat="1" ht="24.75" customHeight="1">
      <c r="A34" s="19"/>
      <c r="I34" s="66"/>
      <c r="V34" s="73">
        <v>3</v>
      </c>
      <c r="W34" s="73">
        <v>2.7269999999999999</v>
      </c>
      <c r="X34" s="73">
        <v>0.70299999999999996</v>
      </c>
      <c r="Y34" s="73">
        <v>1.758</v>
      </c>
      <c r="Z34" s="73">
        <v>1.8180000000000001</v>
      </c>
      <c r="AA34" s="73">
        <v>14.013</v>
      </c>
      <c r="AB34" s="73">
        <v>7.7990000000000004</v>
      </c>
    </row>
    <row r="35" spans="1:31" s="12" customFormat="1" ht="24.75" customHeight="1">
      <c r="A35" s="19"/>
      <c r="I35" s="66"/>
      <c r="V35" s="73">
        <v>3.5</v>
      </c>
      <c r="W35" s="73">
        <v>2.5019999999999998</v>
      </c>
      <c r="X35" s="73">
        <v>0.75</v>
      </c>
      <c r="Y35" s="73">
        <v>1.641</v>
      </c>
      <c r="Z35" s="73">
        <v>1.7569999999999999</v>
      </c>
      <c r="AA35" s="73">
        <v>15.282</v>
      </c>
      <c r="AB35" s="73">
        <v>8.6050000000000004</v>
      </c>
    </row>
    <row r="36" spans="1:31" s="12" customFormat="1" ht="24.75" customHeight="1">
      <c r="A36" s="19"/>
      <c r="I36" s="66"/>
      <c r="V36" s="73">
        <v>4</v>
      </c>
      <c r="W36" s="73">
        <v>2.4409999999999998</v>
      </c>
      <c r="X36" s="73">
        <v>0.76800000000000002</v>
      </c>
      <c r="Y36" s="73">
        <v>1.625</v>
      </c>
      <c r="Z36" s="73">
        <v>1.7509999999999999</v>
      </c>
      <c r="AA36" s="73">
        <v>15.544</v>
      </c>
      <c r="AB36" s="73">
        <v>8.7810000000000006</v>
      </c>
    </row>
    <row r="37" spans="1:31" s="12" customFormat="1" ht="24.75" customHeight="1">
      <c r="A37" s="19"/>
      <c r="I37" s="66"/>
      <c r="V37" s="69"/>
      <c r="W37" s="69"/>
      <c r="X37" s="69"/>
      <c r="Y37" s="69"/>
      <c r="Z37" s="69"/>
      <c r="AA37" s="69"/>
      <c r="AB37" s="69"/>
    </row>
    <row r="38" spans="1:31" s="12" customFormat="1" ht="24.75" customHeight="1">
      <c r="A38" s="19"/>
      <c r="I38" s="66"/>
      <c r="U38" s="474" t="s">
        <v>1150</v>
      </c>
      <c r="V38" s="73">
        <f>IF(D22&lt;2.4,2.4,IF(D22&gt;4,4,INDEX(V31:V36,MATCH(D22,V31:V36,1),1)))</f>
        <v>2.8</v>
      </c>
      <c r="W38" s="73">
        <f>IF(D22&lt;2.4,2.4,IF(D22&gt;4,4,INDEX(V31:V36,MATCH(D22,V31:V36,1)+1,1)))</f>
        <v>3</v>
      </c>
      <c r="X38" s="73">
        <f>D22</f>
        <v>2.80244063429955</v>
      </c>
      <c r="Y38" s="69"/>
      <c r="Z38" s="69"/>
      <c r="AA38" s="69"/>
      <c r="AB38" s="69"/>
    </row>
    <row r="39" spans="1:31" s="12" customFormat="1" ht="24.75" customHeight="1">
      <c r="A39" s="19"/>
      <c r="I39" s="66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474"/>
      <c r="V39" s="73">
        <f>LOOKUP(V38,V31:W36)</f>
        <v>2.9049999999999998</v>
      </c>
      <c r="W39" s="73">
        <f>LOOKUP(W38,V31:W36)</f>
        <v>2.7269999999999999</v>
      </c>
      <c r="X39" s="73">
        <f>TREND(V39:W39,V38:W38,X38)</f>
        <v>2.9028278354734001</v>
      </c>
      <c r="Z39" s="48" t="s">
        <v>1152</v>
      </c>
      <c r="AA39" s="76" t="s">
        <v>1153</v>
      </c>
    </row>
    <row r="40" spans="1:31" s="12" customFormat="1" ht="24.75" customHeight="1">
      <c r="A40" s="19"/>
      <c r="I40" s="66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V40" s="74">
        <f>V38</f>
        <v>2.8</v>
      </c>
      <c r="W40" s="74">
        <f>W38</f>
        <v>3</v>
      </c>
      <c r="X40" s="75">
        <f>D22</f>
        <v>2.80244063429955</v>
      </c>
    </row>
    <row r="41" spans="1:31" s="12" customFormat="1" ht="24.75" customHeight="1">
      <c r="A41" s="19"/>
      <c r="I41" s="66"/>
      <c r="V41" s="12">
        <f>VLOOKUP(V38,V31:AB36,4,FALSE)</f>
        <v>1.869</v>
      </c>
      <c r="W41" s="12">
        <f>VLOOKUP(W38,V31:AB36,4,FALSE)</f>
        <v>1.758</v>
      </c>
      <c r="X41" s="12">
        <f>TREND(V41:W41,V40:W40,X40)</f>
        <v>1.8676454479637501</v>
      </c>
    </row>
    <row r="42" spans="1:31" s="12" customFormat="1" ht="24.75" customHeight="1">
      <c r="A42" s="19"/>
      <c r="I42" s="66"/>
      <c r="V42" s="12">
        <f>VLOOKUP(V38,V31:AB36,5,FALSE)</f>
        <v>1.889</v>
      </c>
      <c r="W42" s="12">
        <f>VLOOKUP(W38,V31:AB36,5,FALSE)</f>
        <v>1.8180000000000001</v>
      </c>
      <c r="X42" s="12">
        <f>TREND(V42:W42,V40:W40,X40)</f>
        <v>1.8881335748236601</v>
      </c>
    </row>
    <row r="43" spans="1:31" s="12" customFormat="1" ht="24.75" customHeight="1">
      <c r="A43" s="19"/>
      <c r="I43" s="66"/>
      <c r="V43" s="12">
        <f>VLOOKUP(V38,V31:AB36,6,FALSE)</f>
        <v>13.003</v>
      </c>
      <c r="W43" s="12">
        <f>VLOOKUP(W38,V31:AB36,6,FALSE)</f>
        <v>14.013</v>
      </c>
      <c r="X43" s="12">
        <f>TREND(V43:W43,V40:W40,X40)</f>
        <v>13.015325203212701</v>
      </c>
    </row>
    <row r="44" spans="1:31" s="12" customFormat="1" ht="24.75" customHeight="1">
      <c r="A44" s="19"/>
      <c r="I44" s="66"/>
    </row>
    <row r="45" spans="1:31" s="12" customFormat="1" ht="24.75" customHeight="1">
      <c r="A45" s="19"/>
      <c r="I45" s="66"/>
      <c r="V45" s="69">
        <v>14000</v>
      </c>
      <c r="W45" s="69">
        <v>35000</v>
      </c>
      <c r="X45" s="69">
        <v>14000</v>
      </c>
    </row>
    <row r="46" spans="1:31" s="12" customFormat="1" ht="24.75" customHeight="1">
      <c r="A46" s="19"/>
      <c r="I46" s="66"/>
      <c r="V46" s="69">
        <v>6</v>
      </c>
      <c r="W46" s="43">
        <v>3</v>
      </c>
      <c r="X46" s="69">
        <f>TREND(V46:W46,V45:W45,X45)</f>
        <v>6</v>
      </c>
      <c r="Y46" s="43"/>
      <c r="Z46" s="43"/>
      <c r="AA46" s="69"/>
      <c r="AB46" s="69"/>
      <c r="AC46" s="69"/>
      <c r="AD46" s="69"/>
      <c r="AE46" s="69"/>
    </row>
    <row r="47" spans="1:31" s="12" customFormat="1" ht="24.75" customHeight="1">
      <c r="A47" s="19"/>
      <c r="I47" s="66"/>
      <c r="L47" s="67"/>
      <c r="M47" s="67"/>
      <c r="N47" s="67"/>
      <c r="O47" s="67"/>
      <c r="P47" s="67"/>
      <c r="Q47" s="67"/>
      <c r="R47" s="67"/>
      <c r="S47" s="67"/>
      <c r="T47" s="67"/>
      <c r="V47" s="69"/>
      <c r="W47" s="69"/>
      <c r="X47" s="69"/>
      <c r="Y47" s="69"/>
      <c r="Z47" s="69"/>
      <c r="AA47" s="69"/>
      <c r="AB47" s="69"/>
      <c r="AC47" s="69"/>
      <c r="AD47" s="69"/>
      <c r="AE47" s="69"/>
    </row>
    <row r="48" spans="1:31" s="12" customFormat="1" ht="24.75" customHeight="1">
      <c r="A48" s="14"/>
      <c r="B48" s="15" t="s">
        <v>1161</v>
      </c>
      <c r="C48" s="15"/>
      <c r="D48" s="15"/>
      <c r="E48" s="15"/>
      <c r="F48" s="15"/>
      <c r="G48" s="15"/>
      <c r="H48" s="15"/>
      <c r="I48" s="68"/>
      <c r="V48" s="69"/>
      <c r="W48" s="69"/>
      <c r="X48" s="69"/>
      <c r="Y48" s="69"/>
      <c r="Z48" s="69"/>
      <c r="AA48" s="69"/>
      <c r="AB48" s="69"/>
      <c r="AC48" s="69"/>
      <c r="AD48" s="69"/>
      <c r="AE48" s="69"/>
    </row>
    <row r="49" spans="1:31" s="12" customFormat="1" ht="24.75" customHeight="1">
      <c r="A49" s="19"/>
      <c r="C49" s="12" t="s">
        <v>1162</v>
      </c>
      <c r="D49" s="38">
        <f>(C2+C3*E4)/1.4</f>
        <v>8.5714285714285694</v>
      </c>
      <c r="E49" s="21" t="s">
        <v>400</v>
      </c>
      <c r="I49" s="66"/>
      <c r="V49" s="69"/>
      <c r="W49" s="69"/>
      <c r="X49" s="69"/>
      <c r="Y49" s="69"/>
      <c r="Z49" s="69"/>
      <c r="AA49" s="69"/>
      <c r="AB49" s="69"/>
      <c r="AC49" s="69"/>
      <c r="AD49" s="69"/>
      <c r="AE49" s="69"/>
    </row>
    <row r="50" spans="1:31" s="12" customFormat="1" ht="24.75" customHeight="1">
      <c r="A50" s="19"/>
      <c r="B50" s="12" t="s">
        <v>1163</v>
      </c>
      <c r="I50" s="66"/>
      <c r="V50" s="69"/>
      <c r="W50" s="69"/>
      <c r="X50" s="69"/>
      <c r="Y50" s="69"/>
      <c r="Z50" s="69"/>
      <c r="AA50" s="69"/>
      <c r="AB50" s="69"/>
      <c r="AC50" s="69"/>
      <c r="AD50" s="69"/>
      <c r="AE50" s="69"/>
    </row>
    <row r="51" spans="1:31" s="12" customFormat="1" ht="24.75" customHeight="1">
      <c r="A51" s="19"/>
      <c r="B51" s="12" t="s">
        <v>1164</v>
      </c>
      <c r="C51" s="38">
        <f>X39</f>
        <v>2.9028278354734001</v>
      </c>
      <c r="D51" s="12" t="s">
        <v>1165</v>
      </c>
      <c r="E51" s="38">
        <f>X41</f>
        <v>1.8676454479637501</v>
      </c>
      <c r="F51" s="12" t="s">
        <v>1166</v>
      </c>
      <c r="G51" s="38">
        <f>X42</f>
        <v>1.8881335748236601</v>
      </c>
      <c r="I51" s="66"/>
      <c r="V51" s="69"/>
      <c r="W51" s="69"/>
      <c r="X51" s="69"/>
      <c r="Y51" s="69"/>
      <c r="Z51" s="69"/>
      <c r="AA51" s="69"/>
      <c r="AB51" s="69"/>
      <c r="AC51" s="69"/>
      <c r="AD51" s="69"/>
      <c r="AE51" s="69"/>
    </row>
    <row r="52" spans="1:31" s="12" customFormat="1" ht="24.75" customHeight="1">
      <c r="A52" s="19"/>
      <c r="B52" s="48" t="s">
        <v>1167</v>
      </c>
      <c r="I52" s="66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3" spans="1:31" s="12" customFormat="1" ht="24.75" customHeight="1">
      <c r="A53" s="19"/>
      <c r="B53" s="12" t="s">
        <v>1168</v>
      </c>
      <c r="I53" s="66"/>
      <c r="V53" s="69"/>
      <c r="W53" s="69"/>
      <c r="X53" s="69"/>
      <c r="Y53" s="69"/>
      <c r="Z53" s="69"/>
      <c r="AA53" s="69"/>
      <c r="AB53" s="69"/>
      <c r="AC53" s="69"/>
      <c r="AD53" s="69"/>
      <c r="AE53" s="69"/>
    </row>
    <row r="54" spans="1:31" s="12" customFormat="1" ht="24.75" customHeight="1">
      <c r="A54" s="19"/>
      <c r="B54" s="49" t="s">
        <v>1169</v>
      </c>
      <c r="C54" s="50" t="s">
        <v>1170</v>
      </c>
      <c r="D54" s="38">
        <f>C51/(D21^3*D18)</f>
        <v>4.2853124195464502E-4</v>
      </c>
      <c r="E54" s="21" t="s">
        <v>1171</v>
      </c>
      <c r="I54" s="66"/>
      <c r="V54" s="69"/>
      <c r="W54" s="69"/>
      <c r="X54" s="69"/>
      <c r="Y54" s="69"/>
      <c r="Z54" s="69"/>
      <c r="AA54" s="69"/>
      <c r="AB54" s="69"/>
      <c r="AC54" s="69"/>
      <c r="AD54" s="69"/>
      <c r="AE54" s="69"/>
    </row>
    <row r="55" spans="1:31" s="12" customFormat="1" ht="24.75" customHeight="1">
      <c r="A55" s="19"/>
      <c r="B55" s="12" t="s">
        <v>1172</v>
      </c>
      <c r="I55" s="66"/>
      <c r="V55" s="69"/>
      <c r="W55" s="69"/>
      <c r="X55" s="69"/>
      <c r="Y55" s="69"/>
      <c r="Z55" s="69"/>
      <c r="AA55" s="69"/>
      <c r="AB55" s="69"/>
      <c r="AC55" s="69"/>
      <c r="AD55" s="69"/>
      <c r="AE55" s="69"/>
    </row>
    <row r="56" spans="1:31" s="12" customFormat="1" ht="24.75" customHeight="1">
      <c r="A56" s="19"/>
      <c r="B56" s="12" t="s">
        <v>1173</v>
      </c>
      <c r="C56" s="12" t="s">
        <v>1174</v>
      </c>
      <c r="D56" s="38">
        <f>E51/(D21^2*D18)</f>
        <v>3.8633323444351998E-4</v>
      </c>
      <c r="E56" s="21" t="s">
        <v>1171</v>
      </c>
      <c r="I56" s="66"/>
      <c r="V56" s="69"/>
      <c r="W56" s="69"/>
      <c r="X56" s="69"/>
      <c r="Y56" s="69"/>
      <c r="Z56" s="69"/>
      <c r="AA56" s="69"/>
      <c r="AB56" s="69"/>
      <c r="AC56" s="69"/>
      <c r="AD56" s="69"/>
      <c r="AE56" s="69"/>
    </row>
    <row r="57" spans="1:31" s="12" customFormat="1" ht="24.75" customHeight="1">
      <c r="A57" s="19"/>
      <c r="B57" s="48" t="s">
        <v>1175</v>
      </c>
      <c r="C57" s="51"/>
      <c r="D57" s="51"/>
      <c r="E57" s="51"/>
      <c r="F57" s="51"/>
      <c r="I57" s="66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</row>
    <row r="58" spans="1:31" s="12" customFormat="1" ht="24.75" customHeight="1">
      <c r="A58" s="52"/>
      <c r="B58" s="12" t="s">
        <v>1176</v>
      </c>
      <c r="C58" s="12" t="s">
        <v>1177</v>
      </c>
      <c r="D58" s="38">
        <f>D56</f>
        <v>3.8633323444351998E-4</v>
      </c>
      <c r="E58" s="21" t="s">
        <v>1171</v>
      </c>
      <c r="F58" s="51"/>
      <c r="I58" s="66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</row>
    <row r="59" spans="1:31" s="12" customFormat="1" ht="24.75" customHeight="1">
      <c r="A59" s="52"/>
      <c r="B59" s="12" t="s">
        <v>1172</v>
      </c>
      <c r="C59" s="12" t="s">
        <v>1178</v>
      </c>
      <c r="D59" s="38">
        <f>G51/(D21*D18)</f>
        <v>5.4727647122069698E-4</v>
      </c>
      <c r="E59" s="21" t="s">
        <v>1171</v>
      </c>
      <c r="F59" s="51"/>
      <c r="I59" s="66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</row>
    <row r="60" spans="1:31" s="12" customFormat="1" ht="24.75" customHeight="1">
      <c r="A60" s="52"/>
      <c r="B60" s="48" t="s">
        <v>1179</v>
      </c>
      <c r="E60" s="21"/>
      <c r="F60" s="51"/>
      <c r="I60" s="66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</row>
    <row r="61" spans="1:31" s="12" customFormat="1" ht="24.75" customHeight="1">
      <c r="A61" s="52"/>
      <c r="B61" s="12" t="s">
        <v>1180</v>
      </c>
      <c r="E61" s="21"/>
      <c r="F61" s="51"/>
      <c r="I61" s="66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spans="1:31" s="12" customFormat="1" ht="24.75" customHeight="1">
      <c r="A62" s="52"/>
      <c r="B62" s="12" t="s">
        <v>1182</v>
      </c>
      <c r="C62" s="38">
        <f>((C3/1.4)*D54+D49*D56)*1000</f>
        <v>5.1479901893214999</v>
      </c>
      <c r="D62" s="12" t="str">
        <f>IF(C62-E62&gt;0,"&gt;","&lt;")</f>
        <v>&lt;</v>
      </c>
      <c r="E62" s="21">
        <f>C5</f>
        <v>11</v>
      </c>
      <c r="F62" s="53" t="str">
        <f>IF(C62&lt;E62,"满足","不满足")</f>
        <v>满足</v>
      </c>
      <c r="I62" s="66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spans="1:31" s="12" customFormat="1" ht="24.75" customHeight="1">
      <c r="A63" s="52"/>
      <c r="B63" s="21" t="s">
        <v>1172</v>
      </c>
      <c r="E63" s="21"/>
      <c r="F63" s="51"/>
      <c r="I63" s="66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spans="1:31" s="12" customFormat="1" ht="24.75" customHeight="1">
      <c r="A64" s="19"/>
      <c r="B64" s="48" t="s">
        <v>1183</v>
      </c>
      <c r="C64" s="38">
        <f>(C3*D56+D49*D59)*57.29578</f>
        <v>0.401582717994792</v>
      </c>
      <c r="D64" s="12" t="str">
        <f>IF(C64-E64&gt;0,"&gt;","&lt;")</f>
        <v>&gt;</v>
      </c>
      <c r="E64" s="21">
        <f>IF(C6="直线杆",0.5,0.3)</f>
        <v>0.3</v>
      </c>
      <c r="F64" s="12" t="str">
        <f>IF(C64&lt;E64,"满足","不满足")</f>
        <v>不满足</v>
      </c>
      <c r="I64" s="66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</row>
    <row r="65" spans="1:24" s="12" customFormat="1" ht="24.75" hidden="1" customHeight="1">
      <c r="A65" s="19"/>
      <c r="C65" s="48"/>
      <c r="I65" s="66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</row>
    <row r="66" spans="1:24" s="12" customFormat="1" ht="24.75" hidden="1" customHeight="1">
      <c r="A66" s="19"/>
      <c r="G66" s="21"/>
      <c r="I66" s="66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</row>
    <row r="67" spans="1:24" s="12" customFormat="1" ht="24.75" hidden="1" customHeight="1">
      <c r="A67" s="19"/>
      <c r="I67" s="66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</row>
    <row r="68" spans="1:24" s="12" customFormat="1" ht="24.75" customHeight="1">
      <c r="A68" s="78" t="s">
        <v>1124</v>
      </c>
      <c r="B68" s="472" t="str">
        <f>IF(D62="&gt;","位移不满足要求","位移满足要求")</f>
        <v>位移满足要求</v>
      </c>
      <c r="C68" s="472"/>
      <c r="D68" s="472"/>
      <c r="E68" s="472"/>
      <c r="F68" s="472"/>
      <c r="G68" s="472"/>
      <c r="H68" s="472"/>
      <c r="I68" s="473"/>
      <c r="J68" s="22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</row>
    <row r="69" spans="1:24" s="12" customFormat="1" ht="24.75" customHeight="1">
      <c r="A69" s="19"/>
      <c r="B69" s="12" t="s">
        <v>1188</v>
      </c>
      <c r="I69" s="66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</row>
    <row r="70" spans="1:24" s="12" customFormat="1" ht="24.75" customHeight="1">
      <c r="A70" s="79"/>
      <c r="B70" s="37"/>
      <c r="C70" s="39" t="s">
        <v>1189</v>
      </c>
      <c r="D70" s="80">
        <f>D65*D67*D72^3/(3*E2)-D65*D66*D72^2/(2*E2)+W65</f>
        <v>0</v>
      </c>
      <c r="I70" s="66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</row>
    <row r="71" spans="1:24" s="12" customFormat="1" ht="24.75" customHeight="1">
      <c r="A71" s="79"/>
      <c r="B71" s="37"/>
      <c r="C71" s="39" t="s">
        <v>1190</v>
      </c>
      <c r="D71" s="81">
        <v>0</v>
      </c>
      <c r="I71" s="66"/>
    </row>
    <row r="72" spans="1:24" s="12" customFormat="1" ht="24.75" customHeight="1">
      <c r="A72" s="19"/>
      <c r="B72" s="12" t="s">
        <v>1191</v>
      </c>
      <c r="D72" s="12">
        <v>5.4899505173898099E-2</v>
      </c>
      <c r="E72" s="21" t="s">
        <v>36</v>
      </c>
      <c r="F72" s="12" t="s">
        <v>1192</v>
      </c>
      <c r="I72" s="66"/>
    </row>
    <row r="73" spans="1:24" s="12" customFormat="1" ht="24.75" customHeight="1">
      <c r="A73" s="19"/>
      <c r="C73" s="12" t="s">
        <v>1193</v>
      </c>
      <c r="D73" s="82">
        <f>(W64+W65*D72-D66*D65/6/E2*D72^3+D65*D67*D72^4/12/E2)*1.4</f>
        <v>0</v>
      </c>
      <c r="E73" s="21" t="s">
        <v>1194</v>
      </c>
      <c r="I73" s="66"/>
    </row>
    <row r="74" spans="1:24" s="12" customFormat="1" ht="24.75" customHeight="1">
      <c r="A74" s="19"/>
      <c r="C74" s="12" t="s">
        <v>1195</v>
      </c>
      <c r="D74" s="82">
        <f>(W65-((D65*D66)/2/E2)*D72^2+D65*D67/3/E2*D72^3)*1.4</f>
        <v>0</v>
      </c>
      <c r="E74" s="21"/>
      <c r="I74" s="66"/>
    </row>
    <row r="75" spans="1:24" s="12" customFormat="1" ht="24.75" customHeight="1">
      <c r="A75" s="19"/>
      <c r="B75" s="12" t="s">
        <v>1196</v>
      </c>
      <c r="I75" s="66"/>
    </row>
    <row r="76" spans="1:24" s="12" customFormat="1" ht="24.75" customHeight="1">
      <c r="A76" s="19"/>
      <c r="C76" s="12" t="s">
        <v>1197</v>
      </c>
      <c r="D76" s="38" t="str">
        <f>IF(E5="","",LOOKUP(E5,W15:W16,X15:X16))</f>
        <v/>
      </c>
      <c r="E76" s="21" t="s">
        <v>1198</v>
      </c>
      <c r="I76" s="66"/>
    </row>
    <row r="77" spans="1:24" s="12" customFormat="1" ht="24.75" customHeight="1">
      <c r="A77" s="19"/>
      <c r="C77" s="12" t="s">
        <v>1199</v>
      </c>
      <c r="D77" s="38" t="e">
        <f>IF(#REF!="","",LOOKUP(#REF!,W8:W12,Y8:Y12))</f>
        <v>#REF!</v>
      </c>
      <c r="E77" s="21" t="s">
        <v>1198</v>
      </c>
      <c r="I77" s="66"/>
    </row>
    <row r="78" spans="1:24" s="12" customFormat="1" ht="24.75" customHeight="1">
      <c r="A78" s="19"/>
      <c r="C78" s="12" t="s">
        <v>1200</v>
      </c>
      <c r="D78" s="38" t="e">
        <f>(#REF!/2)^2*PI()*E4</f>
        <v>#REF!</v>
      </c>
      <c r="E78" s="21" t="s">
        <v>1201</v>
      </c>
      <c r="I78" s="66"/>
    </row>
    <row r="79" spans="1:24" s="12" customFormat="1" ht="24.75" customHeight="1">
      <c r="A79" s="19"/>
      <c r="C79" s="12" t="s">
        <v>1202</v>
      </c>
      <c r="D79" s="38">
        <f>(E3*500)^2*PI()</f>
        <v>70685.834705770394</v>
      </c>
      <c r="E79" s="21" t="s">
        <v>1201</v>
      </c>
      <c r="I79" s="66"/>
    </row>
    <row r="80" spans="1:24" s="12" customFormat="1" ht="24.75" customHeight="1">
      <c r="A80" s="19"/>
      <c r="C80" s="48"/>
      <c r="D80" s="38"/>
      <c r="I80" s="66"/>
    </row>
    <row r="81" spans="1:9" s="12" customFormat="1" ht="24.75" customHeight="1">
      <c r="A81" s="19"/>
      <c r="C81" s="12" t="s">
        <v>1204</v>
      </c>
      <c r="D81" s="38" t="e">
        <f>(D77*D79*W79/2+2*D76*D78*W81/2)*W80/3.14/1000000/1.7</f>
        <v>#REF!</v>
      </c>
      <c r="E81" s="22" t="e">
        <f>IF(D81-F81&gt;0,"&gt;","&lt;")</f>
        <v>#REF!</v>
      </c>
      <c r="F81" s="38">
        <f>W72</f>
        <v>0</v>
      </c>
      <c r="G81" s="38" t="e">
        <f>IF(D81&lt;F81,"不满足","满足")</f>
        <v>#REF!</v>
      </c>
      <c r="I81" s="66"/>
    </row>
    <row r="82" spans="1:9" s="12" customFormat="1" ht="24.75" customHeight="1">
      <c r="A82" s="19"/>
      <c r="C82" s="12" t="s">
        <v>1204</v>
      </c>
      <c r="D82" s="38" t="e">
        <f>(((D77*D79*(Z79)*Z80/2/PI())+D76*D78*(Z81/2)*Z84/PI()))/1000000/1.7</f>
        <v>#REF!</v>
      </c>
      <c r="E82" s="22" t="e">
        <f>IF(D82-F82&gt;0,"&gt;","&lt;")</f>
        <v>#REF!</v>
      </c>
      <c r="F82" s="38">
        <f>W72</f>
        <v>0</v>
      </c>
      <c r="G82" s="38" t="e">
        <f>IF(D82&lt;F82,"不满足","满足")</f>
        <v>#REF!</v>
      </c>
      <c r="I82" s="66"/>
    </row>
    <row r="83" spans="1:9" s="12" customFormat="1" ht="24.75" customHeight="1">
      <c r="A83" s="19"/>
      <c r="C83" s="12" t="s">
        <v>1207</v>
      </c>
      <c r="D83" s="83" t="e">
        <f>D78/D79</f>
        <v>#REF!</v>
      </c>
      <c r="E83" s="22" t="e">
        <f>IF(D83-F83&gt;0,"&gt;","&lt;")</f>
        <v>#REF!</v>
      </c>
      <c r="F83" s="83" t="e">
        <f>LOOKUP(E3,L62:U85)</f>
        <v>#N/A</v>
      </c>
      <c r="G83" s="38" t="e">
        <f>IF(D83&lt;F83,"不满足","满足")</f>
        <v>#REF!</v>
      </c>
      <c r="I83" s="66"/>
    </row>
    <row r="84" spans="1:9" s="12" customFormat="1" ht="24.75" customHeight="1">
      <c r="A84" s="19"/>
      <c r="I84" s="66"/>
    </row>
    <row r="85" spans="1:9" s="12" customFormat="1" ht="24.75" customHeight="1">
      <c r="A85" s="78" t="s">
        <v>1210</v>
      </c>
      <c r="B85" s="47"/>
      <c r="C85" s="47" t="s">
        <v>1211</v>
      </c>
      <c r="D85" s="47"/>
      <c r="E85" s="47" t="s">
        <v>1212</v>
      </c>
      <c r="F85" s="47"/>
      <c r="G85" s="47" t="s">
        <v>1213</v>
      </c>
      <c r="H85" s="47"/>
      <c r="I85" s="84"/>
    </row>
    <row r="86" spans="1:9" s="12" customFormat="1" ht="24.75" customHeight="1"/>
    <row r="87" spans="1:9" s="12" customFormat="1" ht="24.75" customHeight="1"/>
    <row r="88" spans="1:9" s="12" customFormat="1" ht="24.75" customHeight="1"/>
    <row r="89" spans="1:9" s="12" customFormat="1" ht="24.75" customHeight="1"/>
    <row r="90" spans="1:9" s="12" customFormat="1" ht="24.75" customHeight="1"/>
    <row r="91" spans="1:9" s="12" customFormat="1" ht="24.75" customHeight="1"/>
    <row r="92" spans="1:9" s="12" customFormat="1" ht="24.75" customHeight="1"/>
    <row r="93" spans="1:9" s="12" customFormat="1" ht="24.75" customHeight="1"/>
    <row r="94" spans="1:9" s="12" customFormat="1" ht="24.75" customHeight="1"/>
    <row r="95" spans="1:9" s="12" customFormat="1" ht="24.75" customHeight="1"/>
    <row r="96" spans="1:9" s="12" customFormat="1" ht="24.75" customHeight="1"/>
    <row r="97" s="12" customFormat="1" ht="24.75" customHeight="1"/>
  </sheetData>
  <protectedRanges>
    <protectedRange sqref="I11:T11" name="区域1_1"/>
    <protectedRange sqref="D70:D71" name="区域1_4"/>
  </protectedRanges>
  <mergeCells count="8">
    <mergeCell ref="A13:I13"/>
    <mergeCell ref="B68:I68"/>
    <mergeCell ref="U38:U39"/>
    <mergeCell ref="A1:I1"/>
    <mergeCell ref="A2:B2"/>
    <mergeCell ref="A3:B3"/>
    <mergeCell ref="A4:B4"/>
    <mergeCell ref="A5:B5"/>
  </mergeCells>
  <phoneticPr fontId="80" type="noConversion"/>
  <conditionalFormatting sqref="A1:I1 A2:E3 H3:H4 A4:D5 I5:I9 F6:H9 A7:E10 F10:I10">
    <cfRule type="expression" dxfId="20" priority="17" stopIfTrue="1">
      <formula>$I$2</formula>
    </cfRule>
  </conditionalFormatting>
  <conditionalFormatting sqref="A13:T13">
    <cfRule type="expression" dxfId="19" priority="10" stopIfTrue="1">
      <formula>NOT(ISERROR(SEARCH("桩与入土深度不符",A13)))</formula>
    </cfRule>
  </conditionalFormatting>
  <conditionalFormatting sqref="B68:J68">
    <cfRule type="expression" dxfId="18" priority="15" stopIfTrue="1">
      <formula>NOT(ISERROR(SEARCH("位移不满足要求",B68)))</formula>
    </cfRule>
    <cfRule type="expression" dxfId="17" priority="16" stopIfTrue="1">
      <formula>NOT(ISERROR(SEARCH("位移不满足要求",B68)))</formula>
    </cfRule>
  </conditionalFormatting>
  <conditionalFormatting sqref="D17">
    <cfRule type="expression" dxfId="16" priority="7" stopIfTrue="1">
      <formula>$I$2</formula>
    </cfRule>
  </conditionalFormatting>
  <conditionalFormatting sqref="D24:D25">
    <cfRule type="expression" dxfId="15" priority="9" stopIfTrue="1">
      <formula>NOT(ISERROR(SEARCH("否",D24)))</formula>
    </cfRule>
  </conditionalFormatting>
  <conditionalFormatting sqref="D6:E6">
    <cfRule type="expression" dxfId="14" priority="1" stopIfTrue="1">
      <formula>$I$2</formula>
    </cfRule>
  </conditionalFormatting>
  <conditionalFormatting sqref="E4">
    <cfRule type="expression" dxfId="13" priority="4" stopIfTrue="1">
      <formula>$I$2</formula>
    </cfRule>
  </conditionalFormatting>
  <conditionalFormatting sqref="F2:F4">
    <cfRule type="expression" dxfId="12" priority="3" stopIfTrue="1">
      <formula>$I$2</formula>
    </cfRule>
  </conditionalFormatting>
  <conditionalFormatting sqref="G81:G83">
    <cfRule type="expression" dxfId="11" priority="8" stopIfTrue="1">
      <formula>NOT(ISERROR(SEARCH("不满足",G81)))</formula>
    </cfRule>
  </conditionalFormatting>
  <conditionalFormatting sqref="I2">
    <cfRule type="expression" dxfId="10" priority="18" stopIfTrue="1">
      <formula>$I$2="位移不满足"</formula>
    </cfRule>
  </conditionalFormatting>
  <conditionalFormatting sqref="J38:T38">
    <cfRule type="expression" dxfId="9" priority="11" stopIfTrue="1">
      <formula>NOT(ISERROR(SEARCH("单桩承载力不满足要求",J38)))</formula>
    </cfRule>
  </conditionalFormatting>
  <conditionalFormatting sqref="L47:T47">
    <cfRule type="expression" dxfId="8" priority="13" stopIfTrue="1">
      <formula>NOT(ISERROR(SEARCH("短柱抗倾覆不满足要求",L47)))</formula>
    </cfRule>
    <cfRule type="expression" dxfId="7" priority="14" stopIfTrue="1">
      <formula>NOT(ISERROR(SEARCH("短柱抗倾覆不满足要求",L47)))</formula>
    </cfRule>
  </conditionalFormatting>
  <conditionalFormatting sqref="M5:M6">
    <cfRule type="expression" dxfId="6" priority="2" stopIfTrue="1">
      <formula>$I$2</formula>
    </cfRule>
  </conditionalFormatting>
  <dataValidations count="1">
    <dataValidation type="list" allowBlank="1" showInputMessage="1" showErrorMessage="1" sqref="E6" xr:uid="{00000000-0002-0000-1600-000000000000}">
      <formula1>$W$15:$W$16</formula1>
    </dataValidation>
  </dataValidation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M19"/>
  <sheetViews>
    <sheetView workbookViewId="0">
      <selection activeCell="F6" sqref="F6"/>
    </sheetView>
  </sheetViews>
  <sheetFormatPr defaultColWidth="9" defaultRowHeight="21" customHeight="1"/>
  <cols>
    <col min="1" max="1" width="50.375" customWidth="1"/>
    <col min="2" max="2" width="12" style="1" customWidth="1"/>
    <col min="3" max="3" width="34" style="1" customWidth="1"/>
    <col min="4" max="4" width="15.125" style="1" customWidth="1"/>
    <col min="5" max="5" width="15.875" style="1" customWidth="1"/>
    <col min="6" max="11" width="9" style="1"/>
    <col min="12" max="12" width="15.25" style="1" customWidth="1"/>
    <col min="13" max="13" width="15.375" customWidth="1"/>
  </cols>
  <sheetData>
    <row r="1" spans="1:13" ht="32.25" customHeight="1">
      <c r="A1" s="475" t="s">
        <v>1219</v>
      </c>
      <c r="B1" s="476"/>
      <c r="C1" s="476"/>
      <c r="D1" s="477"/>
      <c r="L1" s="9" t="s">
        <v>1220</v>
      </c>
      <c r="M1" s="10" t="s">
        <v>1221</v>
      </c>
    </row>
    <row r="2" spans="1:13" ht="21" customHeight="1">
      <c r="A2" s="2" t="s">
        <v>1222</v>
      </c>
      <c r="B2" s="3">
        <v>40.5</v>
      </c>
      <c r="C2" s="4" t="s">
        <v>1220</v>
      </c>
      <c r="D2" s="5" t="s">
        <v>1091</v>
      </c>
      <c r="L2" s="9" t="s">
        <v>1223</v>
      </c>
      <c r="M2" s="11">
        <v>7.2</v>
      </c>
    </row>
    <row r="3" spans="1:13" ht="37.5" customHeight="1">
      <c r="A3" s="2" t="s">
        <v>1224</v>
      </c>
      <c r="B3" s="3">
        <v>7.8</v>
      </c>
      <c r="C3" s="6" t="s">
        <v>1225</v>
      </c>
      <c r="D3" s="5">
        <f>VLOOKUP(D2,$L$2:$M$9,2,FALSE)</f>
        <v>14.3</v>
      </c>
      <c r="L3" s="9" t="s">
        <v>1088</v>
      </c>
      <c r="M3" s="11">
        <v>9.6</v>
      </c>
    </row>
    <row r="4" spans="1:13" ht="21" customHeight="1">
      <c r="A4" s="2" t="s">
        <v>1226</v>
      </c>
      <c r="B4" s="3">
        <v>500</v>
      </c>
      <c r="C4" s="4" t="s">
        <v>1227</v>
      </c>
      <c r="D4" s="5">
        <f>ROUND(B3*1000/B4/B5+2*B2*1000000/B5/B4/B4+0.5*SQRT((2*B3*1000/B4/B5+4*B2*1000000/B5/B4/B4)^2+4*(B3*1000)^2/B5/B5/B4/B4),2)</f>
        <v>6.8</v>
      </c>
      <c r="L4" s="9" t="s">
        <v>1066</v>
      </c>
      <c r="M4" s="11">
        <v>11.9</v>
      </c>
    </row>
    <row r="5" spans="1:13" ht="21" customHeight="1">
      <c r="A5" s="7" t="s">
        <v>1228</v>
      </c>
      <c r="B5" s="8">
        <v>100</v>
      </c>
      <c r="C5" s="478" t="str">
        <f>IF(D3&gt;D4,"OK","NO")</f>
        <v>OK</v>
      </c>
      <c r="D5" s="479"/>
      <c r="L5" s="9" t="s">
        <v>1091</v>
      </c>
      <c r="M5" s="11">
        <v>14.3</v>
      </c>
    </row>
    <row r="6" spans="1:13" ht="21" customHeight="1">
      <c r="L6" s="9" t="s">
        <v>1092</v>
      </c>
      <c r="M6" s="11">
        <v>16.7</v>
      </c>
    </row>
    <row r="7" spans="1:13" ht="21" customHeight="1">
      <c r="B7" s="475" t="s">
        <v>1219</v>
      </c>
      <c r="C7" s="476"/>
      <c r="D7" s="476"/>
      <c r="E7" s="477"/>
      <c r="L7" s="9" t="s">
        <v>1229</v>
      </c>
      <c r="M7" s="11">
        <v>19.100000000000001</v>
      </c>
    </row>
    <row r="8" spans="1:13" ht="32.25" customHeight="1">
      <c r="A8" s="475" t="s">
        <v>1230</v>
      </c>
      <c r="B8" s="476"/>
      <c r="C8" s="476"/>
      <c r="D8" s="477"/>
      <c r="L8" s="9" t="s">
        <v>1231</v>
      </c>
      <c r="M8" s="11">
        <v>21.1</v>
      </c>
    </row>
    <row r="9" spans="1:13" ht="21" customHeight="1">
      <c r="A9" s="2" t="s">
        <v>1222</v>
      </c>
      <c r="B9" s="3"/>
      <c r="C9" s="4" t="s">
        <v>1220</v>
      </c>
      <c r="D9" s="5" t="s">
        <v>1091</v>
      </c>
      <c r="L9" s="9" t="s">
        <v>1232</v>
      </c>
      <c r="M9" s="11">
        <v>23.1</v>
      </c>
    </row>
    <row r="10" spans="1:13" ht="21" customHeight="1">
      <c r="A10" s="2" t="s">
        <v>1224</v>
      </c>
      <c r="B10" s="3"/>
      <c r="C10" s="6" t="s">
        <v>1225</v>
      </c>
      <c r="D10" s="5">
        <f>VLOOKUP(D9,$L$2:$M$9,2,FALSE)</f>
        <v>14.3</v>
      </c>
    </row>
    <row r="11" spans="1:13" ht="21" customHeight="1">
      <c r="A11" s="2" t="s">
        <v>1233</v>
      </c>
      <c r="B11" s="3"/>
      <c r="C11" s="4" t="s">
        <v>1227</v>
      </c>
      <c r="D11" s="5" t="e">
        <f>ROUND(B10*1000/B11/B12+2*B9*1000000/B12/B11/B11+0.5*SQRT((2*B10*1000/B11/B12+4*B9*1000000/B12/B11/B11)^2+4*(B10*1000)^2/B12/B12/B11/B11),2)</f>
        <v>#DIV/0!</v>
      </c>
    </row>
    <row r="12" spans="1:13" ht="21" customHeight="1">
      <c r="A12" s="7" t="s">
        <v>1234</v>
      </c>
      <c r="B12" s="8"/>
      <c r="C12" s="478" t="e">
        <f>IF(D10&gt;D11,"OK","NO")</f>
        <v>#DIV/0!</v>
      </c>
      <c r="D12" s="479"/>
    </row>
    <row r="15" spans="1:13" ht="27.75" customHeight="1">
      <c r="A15" s="475" t="s">
        <v>1219</v>
      </c>
      <c r="B15" s="476"/>
      <c r="C15" s="476"/>
      <c r="D15" s="477"/>
    </row>
    <row r="16" spans="1:13" ht="21" customHeight="1">
      <c r="A16" s="2" t="s">
        <v>1222</v>
      </c>
      <c r="B16" s="3"/>
      <c r="C16" s="4" t="s">
        <v>1220</v>
      </c>
      <c r="D16" s="5" t="s">
        <v>1091</v>
      </c>
    </row>
    <row r="17" spans="1:4" ht="33.75" customHeight="1">
      <c r="A17" s="2" t="s">
        <v>1224</v>
      </c>
      <c r="B17" s="3"/>
      <c r="C17" s="6" t="s">
        <v>1225</v>
      </c>
      <c r="D17" s="5">
        <f>VLOOKUP(D16,$L$2:$M$9,2,FALSE)</f>
        <v>14.3</v>
      </c>
    </row>
    <row r="18" spans="1:4" ht="21" customHeight="1">
      <c r="A18" s="2" t="s">
        <v>1233</v>
      </c>
      <c r="B18" s="3"/>
      <c r="C18" s="4" t="s">
        <v>1227</v>
      </c>
      <c r="D18" s="5" t="e">
        <f>ROUND(B17*1000/B18/B19+2*B16*1000000/B19/B18/B18+0.5*SQRT((2*B17*1000/B18/B19+4*B16*1000000/B19/B18/B18)^2+4*(B17*1000)^2/B19/B19/B18/B18),2)</f>
        <v>#DIV/0!</v>
      </c>
    </row>
    <row r="19" spans="1:4" ht="21" customHeight="1">
      <c r="A19" s="7" t="s">
        <v>1234</v>
      </c>
      <c r="B19" s="8"/>
      <c r="C19" s="478" t="e">
        <f>IF(D17&gt;D18,"OK","NO")</f>
        <v>#DIV/0!</v>
      </c>
      <c r="D19" s="479"/>
    </row>
  </sheetData>
  <mergeCells count="7">
    <mergeCell ref="A15:D15"/>
    <mergeCell ref="C19:D19"/>
    <mergeCell ref="A1:D1"/>
    <mergeCell ref="C5:D5"/>
    <mergeCell ref="B7:E7"/>
    <mergeCell ref="A8:D8"/>
    <mergeCell ref="C12:D12"/>
  </mergeCells>
  <phoneticPr fontId="80" type="noConversion"/>
  <conditionalFormatting sqref="C5">
    <cfRule type="containsText" dxfId="5" priority="5" operator="containsText" text="NO">
      <formula>NOT(ISERROR(SEARCH("NO",C5)))</formula>
    </cfRule>
    <cfRule type="containsText" dxfId="4" priority="6" operator="containsText" text="不满足要求">
      <formula>NOT(ISERROR(SEARCH("不满足要求",C5)))</formula>
    </cfRule>
  </conditionalFormatting>
  <conditionalFormatting sqref="C12">
    <cfRule type="containsText" dxfId="3" priority="3" operator="containsText" text="NO">
      <formula>NOT(ISERROR(SEARCH("NO",C12)))</formula>
    </cfRule>
    <cfRule type="containsText" dxfId="2" priority="4" operator="containsText" text="不满足要求">
      <formula>NOT(ISERROR(SEARCH("不满足要求",C12)))</formula>
    </cfRule>
  </conditionalFormatting>
  <conditionalFormatting sqref="C19">
    <cfRule type="containsText" dxfId="1" priority="1" operator="containsText" text="NO">
      <formula>NOT(ISERROR(SEARCH("NO",C19)))</formula>
    </cfRule>
    <cfRule type="containsText" dxfId="0" priority="2" operator="containsText" text="不满足要求">
      <formula>NOT(ISERROR(SEARCH("不满足要求",C19)))</formula>
    </cfRule>
  </conditionalFormatting>
  <dataValidations count="1">
    <dataValidation type="list" allowBlank="1" showInputMessage="1" showErrorMessage="1" sqref="D2 D9 D16" xr:uid="{00000000-0002-0000-1700-000000000000}">
      <formula1>$L$2:$L$9</formula1>
    </dataValidation>
  </dataValidation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4" master="" otherUserPermission="visible"/>
  <rangeList sheetStid="1" master="" otherUserPermission="visible"/>
  <rangeList sheetStid="17" master="" otherUserPermission="visible"/>
  <rangeList sheetStid="21" master="" otherUserPermission="visible"/>
  <rangeList sheetStid="27" master="" otherUserPermission="visible"/>
  <rangeList sheetStid="3" master="" otherUserPermission="visible"/>
  <rangeList sheetStid="5" master="" otherUserPermission="visible"/>
  <rangeList sheetStid="7" master="" otherUserPermission="visible"/>
  <rangeList sheetStid="9" master="" otherUserPermission="visible"/>
  <rangeList sheetStid="10" master="" otherUserPermission="visible"/>
  <rangeList sheetStid="12" master="" otherUserPermission="visible"/>
  <rangeList sheetStid="13" master="" otherUserPermission="visible"/>
  <rangeList sheetStid="29" master="" otherUserPermission="visible"/>
  <rangeList sheetStid="30" master="" otherUserPermission="visible"/>
  <rangeList sheetStid="19" master="" otherUserPermission="visible"/>
  <rangeList sheetStid="15" master="" otherUserPermission="visible"/>
  <rangeList sheetStid="16" master="" otherUserPermission="visible"/>
  <rangeList sheetStid="20" master="" otherUserPermission="visible"/>
  <rangeList sheetStid="23" master="" otherUserPermission="visible"/>
  <rangeList sheetStid="18" master="" otherUserPermission="visible"/>
  <rangeList sheetStid="24" master="" otherUserPermission="visible">
    <arrUserId title="区域1_1" rangeCreator="" othersAccessPermission="edit"/>
    <arrUserId title="区域1_4" rangeCreator="" othersAccessPermission="edit"/>
  </rangeList>
  <rangeList sheetStid="26" master="" otherUserPermission="visible">
    <arrUserId title="区域1_1" rangeCreator="" othersAccessPermission="edit"/>
    <arrUserId title="区域1_4" rangeCreator="" othersAccessPermission="edit"/>
  </rangeList>
  <rangeList sheetStid="2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7</vt:i4>
      </vt:variant>
    </vt:vector>
  </HeadingPairs>
  <TitlesOfParts>
    <vt:vector size="31" baseType="lpstr">
      <vt:lpstr>封面</vt:lpstr>
      <vt:lpstr>美标建筑荷载风压计算</vt:lpstr>
      <vt:lpstr>跟踪支架计算书1P</vt:lpstr>
      <vt:lpstr>跟踪支架计算书2P</vt:lpstr>
      <vt:lpstr>跟踪支架荷载计算</vt:lpstr>
      <vt:lpstr>Sheet2</vt:lpstr>
      <vt:lpstr>立柱底板计算</vt:lpstr>
      <vt:lpstr>减速机选型</vt:lpstr>
      <vt:lpstr>风压雪压重现期换算</vt:lpstr>
      <vt:lpstr>主梁四边形计算</vt:lpstr>
      <vt:lpstr>主梁六边形计算</vt:lpstr>
      <vt:lpstr>截面计算</vt:lpstr>
      <vt:lpstr>固定支架荷载计算</vt:lpstr>
      <vt:lpstr>25年一遇固定支架荷载计算</vt:lpstr>
      <vt:lpstr>型钢开孔折减</vt:lpstr>
      <vt:lpstr>50年一遇固定支架荷载计算 (风压高度1.2)</vt:lpstr>
      <vt:lpstr>预应力钢丝绳计算</vt:lpstr>
      <vt:lpstr>预应力管桩基础计算</vt:lpstr>
      <vt:lpstr>螺旋锚基础计算</vt:lpstr>
      <vt:lpstr>单柱螺旋锚计算</vt:lpstr>
      <vt:lpstr>各规范冷弯</vt:lpstr>
      <vt:lpstr>弹性桩基础计算- 圆</vt:lpstr>
      <vt:lpstr>插入式管桩基础计算</vt:lpstr>
      <vt:lpstr>埋入式基础</vt:lpstr>
      <vt:lpstr>跟踪支架计算书1P!Print_Area</vt:lpstr>
      <vt:lpstr>跟踪支架计算书2P!Print_Area</vt:lpstr>
      <vt:lpstr>立柱底板计算!Print_Area</vt:lpstr>
      <vt:lpstr>美标建筑荷载风压计算!Print_Area</vt:lpstr>
      <vt:lpstr>预应力管桩基础计算!Print_Area</vt:lpstr>
      <vt:lpstr>跟踪支架计算书1P!Print_Titles</vt:lpstr>
      <vt:lpstr>预应力管桩基础计算!Print_Titles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万龙波</dc:creator>
  <cp:lastModifiedBy>qiang zhang</cp:lastModifiedBy>
  <cp:lastPrinted>2022-02-25T06:24:00Z</cp:lastPrinted>
  <dcterms:created xsi:type="dcterms:W3CDTF">2021-03-05T00:24:00Z</dcterms:created>
  <dcterms:modified xsi:type="dcterms:W3CDTF">2026-03-16T07:44:31Z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eyJoZGlkIjoiYjZmYjZlYjRlYjk0ODAxMzk4NTFiMDUyMTJiMjQ2ODQifQ==</vt:lpwstr>
  </property>
  <property fmtid="{D5CDD505-2E9C-101B-9397-08002B2CF9AE}" pid="3" name="ICV">
    <vt:lpwstr>EE1EE5DB5DF74BEEA77DDD1AF614AD04</vt:lpwstr>
  </property>
  <property fmtid="{D5CDD505-2E9C-101B-9397-08002B2CF9AE}" pid="4" name="KSOProductBuildVer">
    <vt:lpwstr>2052-12.1.0.21915</vt:lpwstr>
  </property>
</Properties>
</file>