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diya\Desktop\excel_git\"/>
    </mc:Choice>
  </mc:AlternateContent>
  <bookViews>
    <workbookView xWindow="0" yWindow="0" windowWidth="16392" windowHeight="4872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10" i="1"/>
  <c r="J11" i="1"/>
  <c r="J12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 l="1"/>
  <c r="I36" i="1"/>
  <c r="H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I13" i="1"/>
  <c r="H13" i="1"/>
  <c r="C5" i="1" s="1"/>
  <c r="K12" i="1"/>
  <c r="K11" i="1"/>
  <c r="K10" i="1"/>
  <c r="I7" i="1"/>
  <c r="D4" i="1" s="1"/>
  <c r="H7" i="1"/>
  <c r="C4" i="1" s="1"/>
  <c r="K6" i="1"/>
  <c r="K5" i="1"/>
  <c r="K4" i="1"/>
  <c r="D5" i="1" l="1"/>
  <c r="D6" i="1" s="1"/>
  <c r="K36" i="1"/>
  <c r="K7" i="1"/>
  <c r="K13" i="1"/>
  <c r="C34" i="1"/>
  <c r="B34" i="1" s="1"/>
  <c r="C6" i="1"/>
  <c r="E4" i="1"/>
  <c r="C31" i="1"/>
  <c r="C33" i="1"/>
  <c r="C35" i="1"/>
  <c r="D35" i="1" s="1"/>
  <c r="C32" i="1"/>
  <c r="E5" i="1" l="1"/>
  <c r="E6" i="1"/>
  <c r="D34" i="1"/>
  <c r="E34" i="1"/>
  <c r="E31" i="1"/>
  <c r="B31" i="1"/>
  <c r="C36" i="1"/>
  <c r="D31" i="1"/>
  <c r="E32" i="1"/>
  <c r="B32" i="1"/>
  <c r="D32" i="1"/>
  <c r="E35" i="1"/>
  <c r="B35" i="1"/>
  <c r="E33" i="1"/>
  <c r="B33" i="1"/>
  <c r="D33" i="1"/>
  <c r="D36" i="1" l="1"/>
  <c r="E36" i="1"/>
</calcChain>
</file>

<file path=xl/sharedStrings.xml><?xml version="1.0" encoding="utf-8"?>
<sst xmlns="http://schemas.openxmlformats.org/spreadsheetml/2006/main" count="60" uniqueCount="48">
  <si>
    <t>MONTHLY BUDGET</t>
  </si>
  <si>
    <t>TOTAL BUDGET</t>
  </si>
  <si>
    <t>FORECASTS</t>
  </si>
  <si>
    <t>REPORTED</t>
  </si>
  <si>
    <t>DIFFERENCE</t>
  </si>
  <si>
    <t>INCOME</t>
  </si>
  <si>
    <t>TOP 5 AMOUNT</t>
  </si>
  <si>
    <t>Income</t>
  </si>
  <si>
    <t>Net sales</t>
  </si>
  <si>
    <t>Expenses</t>
  </si>
  <si>
    <t>Interest income</t>
  </si>
  <si>
    <t>Balance (Income minus Expenses)</t>
  </si>
  <si>
    <t>Sale of assets (profit / loss)</t>
  </si>
  <si>
    <t>Total</t>
  </si>
  <si>
    <t>STAFF COSTS</t>
  </si>
  <si>
    <t>Top 5 Amount</t>
  </si>
  <si>
    <t>Salaries</t>
  </si>
  <si>
    <t>Social security</t>
  </si>
  <si>
    <t>Bonuses</t>
  </si>
  <si>
    <t>Total for staff</t>
  </si>
  <si>
    <t>OPERATING EXPENSES</t>
  </si>
  <si>
    <t>Advertising</t>
  </si>
  <si>
    <t>Provision costs</t>
  </si>
  <si>
    <t>Cash discounts</t>
  </si>
  <si>
    <t>Delivery costs</t>
  </si>
  <si>
    <t>Depreciation</t>
  </si>
  <si>
    <t>Import and subscriptions</t>
  </si>
  <si>
    <t>Insurance</t>
  </si>
  <si>
    <t>Interest</t>
  </si>
  <si>
    <t>Legal services and audit</t>
  </si>
  <si>
    <t>Maintenance and repair</t>
  </si>
  <si>
    <t>Stationery</t>
  </si>
  <si>
    <t>Postage</t>
  </si>
  <si>
    <t>Rent and mortgage</t>
  </si>
  <si>
    <t>What are the 5 highest COSTS OF ACTIVITY?</t>
  </si>
  <si>
    <t>Sales expenses</t>
  </si>
  <si>
    <t>COSTS</t>
  </si>
  <si>
    <t>VALUE</t>
  </si>
  <si>
    <t>% OF COSTS</t>
  </si>
  <si>
    <t>15% DISCOUNT</t>
  </si>
  <si>
    <t>Transport and storage</t>
  </si>
  <si>
    <t>Delivery</t>
  </si>
  <si>
    <t>Taxes</t>
  </si>
  <si>
    <t>Phone</t>
  </si>
  <si>
    <t>Utilities</t>
  </si>
  <si>
    <t>Others</t>
  </si>
  <si>
    <t>Total operational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</si>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</sst>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yyyy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36"/>
      <color theme="0"/>
      <name val="Calibri Light"/>
      <family val="2"/>
      <scheme val="maj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899A6"/>
        <bgColor indexed="64"/>
      </patternFill>
    </fill>
    <fill>
      <patternFill patternType="solid">
        <fgColor rgb="FF6BB6C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horizontal="left" indent="1"/>
    </xf>
    <xf numFmtId="40" fontId="0" fillId="0" borderId="0" xfId="1" applyNumberFormat="1" applyFont="1"/>
    <xf numFmtId="0" fontId="4" fillId="0" borderId="0" xfId="0" applyFont="1" applyAlignment="1">
      <alignment horizontal="left" indent="1"/>
    </xf>
    <xf numFmtId="40" fontId="0" fillId="0" borderId="0" xfId="0" applyNumberFormat="1"/>
    <xf numFmtId="43" fontId="0" fillId="0" borderId="0" xfId="1" applyFont="1"/>
    <xf numFmtId="9" fontId="0" fillId="2" borderId="0" xfId="2" applyFont="1" applyFill="1" applyAlignment="1">
      <alignment horizontal="right"/>
    </xf>
    <xf numFmtId="0" fontId="5" fillId="2" borderId="0" xfId="0" applyFont="1" applyFill="1" applyAlignment="1">
      <alignment vertical="center"/>
    </xf>
    <xf numFmtId="165" fontId="0" fillId="0" borderId="0" xfId="2" applyNumberFormat="1" applyFont="1"/>
    <xf numFmtId="43" fontId="0" fillId="0" borderId="0" xfId="0" applyNumberFormat="1"/>
    <xf numFmtId="165" fontId="0" fillId="0" borderId="0" xfId="0" applyNumberFormat="1"/>
    <xf numFmtId="0" fontId="0" fillId="3" borderId="0" xfId="0" applyFill="1"/>
    <xf numFmtId="0" fontId="0" fillId="4" borderId="0" xfId="0" applyFill="1" applyAlignment="1">
      <alignment horizontal="left" vertical="center" inden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0" fillId="4" borderId="0" xfId="0" applyFill="1" applyAlignment="1">
      <alignment horizontal="left" vertical="top" indent="1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/>
    <xf numFmtId="164" fontId="7" fillId="0" borderId="1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43" fontId="0" fillId="2" borderId="0" xfId="0" applyNumberForma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8">
    <dxf>
      <numFmt numFmtId="8" formatCode="#,##0.00_);[Red]\(#,##0.00\)"/>
    </dxf>
    <dxf>
      <numFmt numFmtId="8" formatCode="#,##0.00_);[Red]\(#,##0.00\)"/>
    </dxf>
    <dxf>
      <numFmt numFmtId="8" formatCode="#,##0.00_);[Red]\(#,##0.00\)"/>
    </dxf>
    <dxf>
      <numFmt numFmtId="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ill>
        <patternFill patternType="solid">
          <fgColor indexed="64"/>
          <bgColor rgb="FF7899A6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8" formatCode="#,##0.00_);[Red]\(#,##0.00\)"/>
    </dxf>
    <dxf>
      <numFmt numFmtId="165" formatCode="0.0%"/>
    </dxf>
    <dxf>
      <numFmt numFmtId="165" formatCode="0.0%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ill>
        <patternFill patternType="solid">
          <fgColor indexed="64"/>
          <bgColor rgb="FF7899A6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8" formatCode="#,##0.00_);[Red]\(#,##0.00\)"/>
    </dxf>
    <dxf>
      <numFmt numFmtId="8" formatCode="#,##0.00_);[Red]\(#,##0.00\)"/>
    </dxf>
    <dxf>
      <numFmt numFmtId="8" formatCode="#,##0.00_);[Red]\(#,##0.00\)"/>
    </dxf>
    <dxf>
      <alignment horizontal="left" vertical="bottom" textRotation="0" wrapText="0" indent="1" justifyLastLine="0" shrinkToFit="0" readingOrder="0"/>
    </dxf>
    <dxf>
      <fill>
        <patternFill patternType="solid">
          <fgColor indexed="64"/>
          <bgColor rgb="FF7899A6"/>
        </patternFill>
      </fill>
    </dxf>
    <dxf>
      <numFmt numFmtId="8" formatCode="#,##0.00_);[Red]\(#,##0.00\)"/>
    </dxf>
    <dxf>
      <numFmt numFmtId="8" formatCode="#,##0.00_);[Red]\(#,##0.00\)"/>
    </dxf>
    <dxf>
      <numFmt numFmtId="8" formatCode="#,##0.00_);[Red]\(#,##0.00\)"/>
    </dxf>
    <dxf>
      <numFmt numFmtId="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ill>
        <patternFill patternType="solid">
          <fgColor indexed="64"/>
          <bgColor rgb="FF7899A6"/>
        </patternFill>
      </fill>
      <alignment horizontal="left" vertical="center" textRotation="0" wrapText="0" indent="1" justifyLastLine="0" shrinkToFit="0" readingOrder="0"/>
    </dxf>
    <dxf>
      <numFmt numFmtId="8" formatCode="#,##0.00_);[Red]\(#,##0.00\)"/>
    </dxf>
    <dxf>
      <numFmt numFmtId="8" formatCode="#,##0.00_);[Red]\(#,##0.00\)"/>
    </dxf>
    <dxf>
      <numFmt numFmtId="8" formatCode="#,##0.00_);[Red]\(#,##0.00\)"/>
    </dxf>
    <dxf>
      <numFmt numFmtId="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ill>
        <patternFill patternType="solid">
          <fgColor indexed="64"/>
          <bgColor rgb="FF7899A6"/>
        </patternFill>
      </fill>
      <alignment horizontal="left" vertical="center" textRotation="0" wrapText="0" indent="1" justifyLastLine="0" shrinkToFit="0" readingOrder="0"/>
    </dxf>
    <dxf>
      <fill>
        <patternFill patternType="solid">
          <fgColor theme="4" tint="0.59999389629810485"/>
          <bgColor theme="8" tint="0.59996337778862885"/>
        </patternFill>
      </fill>
    </dxf>
    <dxf>
      <fill>
        <patternFill>
          <bgColor theme="8" tint="0.59996337778862885"/>
        </patternFill>
      </fill>
    </dxf>
    <dxf>
      <font>
        <b val="0"/>
        <i val="0"/>
        <color theme="1"/>
      </font>
      <fill>
        <patternFill patternType="solid">
          <fgColor theme="4"/>
          <bgColor theme="8" tint="0.59996337778862885"/>
        </patternFill>
      </fill>
      <border>
        <top style="thin">
          <color theme="0"/>
        </top>
      </border>
    </dxf>
    <dxf>
      <font>
        <color theme="3"/>
      </font>
      <fill>
        <patternFill patternType="solid">
          <fgColor theme="4"/>
          <bgColor theme="7" tint="0.39994506668294322"/>
        </patternFill>
      </fill>
      <border>
        <bottom style="thin">
          <color theme="0"/>
        </bottom>
      </border>
    </dxf>
    <dxf>
      <font>
        <b val="0"/>
        <i val="0"/>
        <color theme="1"/>
      </font>
      <fill>
        <patternFill patternType="solid">
          <fgColor theme="4" tint="0.79979857783745845"/>
          <bgColor theme="8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Monthly Budget" pivot="0" count="5">
      <tableStyleElement type="wholeTable" dxfId="37"/>
      <tableStyleElement type="headerRow" dxfId="36"/>
      <tableStyleElement type="totalRow" dxfId="35"/>
      <tableStyleElement type="lastColumn" dxfId="34"/>
      <tableStyleElement type="firstRowStripe" dxfId="33"/>
    </tableStyle>
  </tableStyles>
  <colors>
    <mruColors>
      <color rgb="FF7899A6"/>
      <color rgb="FF6BB6C5"/>
      <color rgb="FF96C8AA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Budget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BB6C5">
                <a:alpha val="84706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budget!$B$4:$B$5</c:f>
              <c:strCache>
                <c:ptCount val="2"/>
                <c:pt idx="0">
                  <c:v>Income</c:v>
                </c:pt>
                <c:pt idx="1">
                  <c:v>Expenses</c:v>
                </c:pt>
              </c:strCache>
            </c:strRef>
          </c:cat>
          <c:val>
            <c:numRef>
              <c:f>budget!$C$4:$C$5</c:f>
              <c:numCache>
                <c:formatCode>#,##0.00_);[Red]\(#,##0.00\)</c:formatCode>
                <c:ptCount val="2"/>
                <c:pt idx="0">
                  <c:v>63300</c:v>
                </c:pt>
                <c:pt idx="1">
                  <c:v>54500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8-443F-86AE-AD4CD48CF754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899A6">
                  <a:alpha val="84706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A8-443F-86AE-AD4CD48CF754}"/>
              </c:ext>
            </c:extLst>
          </c:dPt>
          <c:dPt>
            <c:idx val="1"/>
            <c:invertIfNegative val="0"/>
            <c:bubble3D val="0"/>
            <c:spPr>
              <a:solidFill>
                <a:srgbClr val="7899A6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A8-443F-86AE-AD4CD48CF7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budget!$B$4:$B$5</c:f>
              <c:strCache>
                <c:ptCount val="2"/>
                <c:pt idx="0">
                  <c:v>Income</c:v>
                </c:pt>
                <c:pt idx="1">
                  <c:v>Expenses</c:v>
                </c:pt>
              </c:strCache>
            </c:strRef>
          </c:cat>
          <c:val>
            <c:numRef>
              <c:f>budget!$D$4:$D$5</c:f>
              <c:numCache>
                <c:formatCode>#,##0.00_);[Red]\(#,##0.00\)</c:formatCode>
                <c:ptCount val="2"/>
                <c:pt idx="0">
                  <c:v>56950</c:v>
                </c:pt>
                <c:pt idx="1">
                  <c:v>54130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A8-443F-86AE-AD4CD48CF754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budget!$B$4:$B$5</c:f>
              <c:strCache>
                <c:ptCount val="2"/>
                <c:pt idx="0">
                  <c:v>Income</c:v>
                </c:pt>
                <c:pt idx="1">
                  <c:v>Expenses</c:v>
                </c:pt>
              </c:strCache>
            </c:strRef>
          </c:cat>
          <c:val>
            <c:numRef>
              <c:f>budget!$C$3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A8-443F-86AE-AD4CD48CF754}"/>
            </c:ext>
          </c:extLst>
        </c:ser>
        <c:ser>
          <c:idx val="3"/>
          <c:order val="3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budget!$B$4:$B$5</c:f>
              <c:strCache>
                <c:ptCount val="2"/>
                <c:pt idx="0">
                  <c:v>Income</c:v>
                </c:pt>
                <c:pt idx="1">
                  <c:v>Expenses</c:v>
                </c:pt>
              </c:strCache>
            </c:strRef>
          </c:cat>
          <c:val>
            <c:numRef>
              <c:f>budget!$D$3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A8-443F-86AE-AD4CD48CF7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5414312"/>
        <c:axId val="475413656"/>
      </c:barChart>
      <c:catAx>
        <c:axId val="47541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413656"/>
        <c:crosses val="autoZero"/>
        <c:auto val="1"/>
        <c:lblAlgn val="ctr"/>
        <c:lblOffset val="100"/>
        <c:noMultiLvlLbl val="0"/>
      </c:catAx>
      <c:valAx>
        <c:axId val="4754136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_);[Red]\(#,##0.00\)" sourceLinked="1"/>
        <c:majorTickMark val="none"/>
        <c:minorTickMark val="none"/>
        <c:tickLblPos val="nextTo"/>
        <c:crossAx val="475414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6</xdr:row>
      <xdr:rowOff>179070</xdr:rowOff>
    </xdr:from>
    <xdr:to>
      <xdr:col>4</xdr:col>
      <xdr:colOff>784860</xdr:colOff>
      <xdr:row>27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6" name="OperatingExpensesTable" displayName="OperatingExpensesTable" ref="G15:K36" totalsRowCount="1" headerRowDxfId="32">
  <autoFilter ref="G15:K35"/>
  <sortState ref="G19:K39">
    <sortCondition ref="G16:G37"/>
  </sortState>
  <tableColumns count="5">
    <tableColumn id="1" name="OPERATING EXPENSES" totalsRowLabel="Total operational" dataDxfId="31" totalsRowDxfId="30"/>
    <tableColumn id="2" name="FORECASTS" totalsRowFunction="sum" totalsRowDxfId="29"/>
    <tableColumn id="3" name="REPORTED" totalsRowFunction="sum" totalsRowDxfId="28"/>
    <tableColumn id="5" name="Top 5 Amount" totalsRowFunction="sum" totalsRowDxfId="27">
      <calculatedColumnFormula>OperatingExpensesTable[[#This Row],[REPORTED]]+(10^-6)*ROW(OperatingExpensesTable[[#This Row],[REPORTED]])</calculatedColumnFormula>
    </tableColumn>
    <tableColumn id="4" name="DIFFERENCE" totalsRowFunction="sum" totalsRowDxfId="26">
      <calculatedColumnFormula>OperatingExpensesTable[[#This Row],[FORECASTS]]-OperatingExpensesTable[[#This Row],[REPORTED]]</calculatedColumnFormula>
    </tableColumn>
  </tableColumns>
  <tableStyleInfo name="Monthly Budget" showFirstColumn="0" showLastColumn="0" showRowStripes="0" showColumnStripes="0"/>
  <extLst>
    <ext xmlns:x14="http://schemas.microsoft.com/office/spreadsheetml/2009/9/main" uri="{504A1905-F514-4f6f-8877-14C23A59335A}">
      <x14:table altText="Operating Expenses table" altTextSummary="List of operating expenses for estimated and actual values along with a calculated difference"/>
    </ext>
  </extLst>
</table>
</file>

<file path=xl/tables/table2.xml><?xml version="1.0" encoding="utf-8"?>
<table xmlns="http://schemas.openxmlformats.org/spreadsheetml/2006/main" id="7" name="IncomeTable" displayName="IncomeTable" ref="G3:K7" totalsRowCount="1" headerRowDxfId="25">
  <autoFilter ref="G3:K6"/>
  <tableColumns count="5">
    <tableColumn id="1" name="INCOME" totalsRowLabel="Total" dataDxfId="24" totalsRowDxfId="23"/>
    <tableColumn id="2" name="FORECASTS" totalsRowFunction="sum" totalsRowDxfId="22"/>
    <tableColumn id="3" name="REPORTED" totalsRowFunction="sum" totalsRowDxfId="21"/>
    <tableColumn id="5" name="TOP 5 AMOUNT" totalsRowDxfId="20">
      <calculatedColumnFormula>IncomeTable[[#This Row],[REPORTED]]+(10^-6)*ROW(IncomeTable[[#This Row],[REPORTED]])</calculatedColumnFormula>
    </tableColumn>
    <tableColumn id="4" name="DIFFERENCE" totalsRowFunction="sum" totalsRowDxfId="19">
      <calculatedColumnFormula>IncomeTable[[#This Row],[REPORTED]]-IncomeTable[[#This Row],[FORECASTS]]</calculatedColumnFormula>
    </tableColumn>
  </tableColumns>
  <tableStyleInfo name="Monthly Budget" showFirstColumn="0" showLastColumn="0" showRowStripes="0" showColumnStripes="0"/>
  <extLst>
    <ext xmlns:x14="http://schemas.microsoft.com/office/spreadsheetml/2009/9/main" uri="{504A1905-F514-4f6f-8877-14C23A59335A}">
      <x14:table altText="Income table" altTextSummary="List of income sources for estimated and actual values along with a calculated difference"/>
    </ext>
  </extLst>
</table>
</file>

<file path=xl/tables/table3.xml><?xml version="1.0" encoding="utf-8"?>
<table xmlns="http://schemas.openxmlformats.org/spreadsheetml/2006/main" id="8" name="TotalsTable" displayName="TotalsTable" ref="B3:E6" totalsRowCount="1" headerRowDxfId="18">
  <autoFilter ref="B3:E5"/>
  <tableColumns count="4">
    <tableColumn id="1" name="TOTAL BUDGET" totalsRowLabel="Balance (Income minus Expenses)" totalsRowDxfId="17"/>
    <tableColumn id="2" name="FORECASTS" totalsRowFunction="custom" totalsRowDxfId="16">
      <totalsRowFormula>C4-C5</totalsRowFormula>
    </tableColumn>
    <tableColumn id="3" name="REPORTED" totalsRowFunction="custom" totalsRowDxfId="15">
      <totalsRowFormula>D4-D5</totalsRowFormula>
    </tableColumn>
    <tableColumn id="4" name="DIFFERENCE" totalsRowFunction="custom" totalsRowDxfId="14" dataCellStyle="Comma">
      <calculatedColumnFormula>TotalsTable[[#This Row],[REPORTED]]-TotalsTable[[#This Row],[FORECASTS]]</calculatedColumnFormula>
      <totalsRowFormula>TotalsTable[[#Totals],[REPORTED]]-TotalsTable[[#Totals],[FORECASTS]]</totalsRowFormula>
    </tableColumn>
  </tableColumns>
  <tableStyleInfo name="Monthly Budget" showFirstColumn="0" showLastColumn="1" showRowStripes="0" showColumnStripes="0"/>
  <extLst>
    <ext xmlns:x14="http://schemas.microsoft.com/office/spreadsheetml/2009/9/main" uri="{504A1905-F514-4f6f-8877-14C23A59335A}">
      <x14:table altText="Budget Totals table" altTextSummary="Table that sums total estimated and actual income and expenses from other tables in the worksheet, calculates difference, and provides balance (income minus expenses)"/>
    </ext>
  </extLst>
</table>
</file>

<file path=xl/tables/table4.xml><?xml version="1.0" encoding="utf-8"?>
<table xmlns="http://schemas.openxmlformats.org/spreadsheetml/2006/main" id="9" name="Top5Expenses" displayName="Top5Expenses" ref="B30:E36" totalsRowCount="1" headerRowDxfId="13">
  <tableColumns count="4">
    <tableColumn id="1" name="COSTS" totalsRowLabel="Total" dataDxfId="12" totalsRowDxfId="11">
      <calculatedColumnFormula>INDEX(OperatingExpensesTable[],MATCH(Top5Expenses[[#This Row],[VALUE]],OperatingExpensesTable[Top 5 Amount],0),1)</calculatedColumnFormula>
    </tableColumn>
    <tableColumn id="2" name="VALUE" totalsRowFunction="sum" totalsRowDxfId="10"/>
    <tableColumn id="3" name="% OF COSTS" totalsRowFunction="sum" dataDxfId="9" totalsRowDxfId="8">
      <calculatedColumnFormula>Top5Expenses[[#This Row],[VALUE]]/$C$4</calculatedColumnFormula>
    </tableColumn>
    <tableColumn id="4" name="15% DISCOUNT" totalsRowFunction="sum" totalsRowDxfId="7" dataCellStyle="Comma">
      <calculatedColumnFormula>Top5Expenses[[#This Row],[VALUE]]*0.15</calculatedColumnFormula>
    </tableColumn>
  </tableColumns>
  <tableStyleInfo name="Monthly Budget" showFirstColumn="0" showLastColumn="0" showRowStripes="0" showColumnStripes="0"/>
  <extLst>
    <ext xmlns:x14="http://schemas.microsoft.com/office/spreadsheetml/2009/9/main" uri="{504A1905-F514-4f6f-8877-14C23A59335A}">
      <x14:table altText="Top 5 highest operating expenses" altTextSummary="Table that provides the top 5 highest operating expenses, percentage of expenses, and 15% reduction for potential savings analysis "/>
    </ext>
  </extLst>
</table>
</file>

<file path=xl/tables/table5.xml><?xml version="1.0" encoding="utf-8"?>
<table xmlns="http://schemas.openxmlformats.org/spreadsheetml/2006/main" id="10" name="PersonnelExpensesTable" displayName="PersonnelExpensesTable" ref="G9:K13" totalsRowCount="1" headerRowDxfId="6">
  <autoFilter ref="G9:K12"/>
  <tableColumns count="5">
    <tableColumn id="1" name="STAFF COSTS" totalsRowLabel="Total for staff" dataDxfId="5" totalsRowDxfId="4"/>
    <tableColumn id="2" name="FORECASTS" totalsRowFunction="sum" totalsRowDxfId="3"/>
    <tableColumn id="3" name="REPORTED" totalsRowFunction="sum" totalsRowDxfId="2"/>
    <tableColumn id="4" name="Top 5 Amount" totalsRowDxfId="1">
      <calculatedColumnFormula>PersonnelExpensesTable[[#This Row],[REPORTED]]+(10^-6)*ROW(PersonnelExpensesTable[[#This Row],[REPORTED]])</calculatedColumnFormula>
    </tableColumn>
    <tableColumn id="5" name="DIFFERENCE" totalsRowFunction="sum" totalsRowDxfId="0">
      <calculatedColumnFormula>PersonnelExpensesTable[[#This Row],[FORECASTS]]-PersonnelExpensesTable[[#This Row],[REPORTED]]</calculatedColumnFormula>
    </tableColumn>
  </tableColumns>
  <tableStyleInfo name="Monthly Budget" showFirstColumn="0" showLastColumn="0" showRowStripes="0" showColumnStripes="0"/>
  <extLst>
    <ext xmlns:x14="http://schemas.microsoft.com/office/spreadsheetml/2009/9/main" uri="{504A1905-F514-4f6f-8877-14C23A59335A}">
      <x14:table altText="Personnel Expenses table" altTextSummary="List of personnel expenses for estimated and actual values along with a calculated differenc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activeCell="M10" sqref="M10"/>
    </sheetView>
  </sheetViews>
  <sheetFormatPr defaultRowHeight="14.4" x14ac:dyDescent="0.3"/>
  <cols>
    <col min="1" max="1" width="1.44140625" customWidth="1"/>
    <col min="2" max="2" width="30.21875" customWidth="1"/>
    <col min="3" max="3" width="13.6640625" customWidth="1"/>
    <col min="4" max="4" width="12.21875" customWidth="1"/>
    <col min="5" max="5" width="14.33203125" customWidth="1"/>
    <col min="6" max="6" width="2.5546875" customWidth="1"/>
    <col min="7" max="7" width="28.21875" customWidth="1"/>
    <col min="8" max="8" width="16" customWidth="1"/>
    <col min="9" max="9" width="13.44140625" customWidth="1"/>
    <col min="10" max="10" width="17.6640625" customWidth="1"/>
    <col min="11" max="11" width="13.5546875" customWidth="1"/>
    <col min="12" max="12" width="2.5546875" customWidth="1"/>
  </cols>
  <sheetData>
    <row r="1" spans="1:12" ht="29.4" customHeight="1" thickBot="1" x14ac:dyDescent="0.35">
      <c r="B1" s="19" t="s">
        <v>0</v>
      </c>
      <c r="C1" s="20"/>
      <c r="D1" s="20"/>
      <c r="E1" s="20"/>
      <c r="F1" s="20"/>
      <c r="G1" s="20"/>
      <c r="H1" s="21"/>
      <c r="I1" s="13"/>
      <c r="J1" s="21"/>
      <c r="K1" s="22">
        <v>43983</v>
      </c>
      <c r="L1" s="23"/>
    </row>
    <row r="2" spans="1:12" ht="5.4" customHeight="1" x14ac:dyDescent="0.3">
      <c r="A2" s="1"/>
      <c r="B2" s="1"/>
      <c r="C2" s="1"/>
      <c r="D2" s="1"/>
      <c r="E2" s="1"/>
      <c r="F2" s="17"/>
      <c r="G2" s="17"/>
      <c r="H2" s="17"/>
      <c r="I2" s="17"/>
      <c r="J2" s="17"/>
      <c r="K2" s="17"/>
      <c r="L2" s="17"/>
    </row>
    <row r="3" spans="1:12" x14ac:dyDescent="0.3">
      <c r="A3" s="2"/>
      <c r="B3" s="14" t="s">
        <v>1</v>
      </c>
      <c r="C3" s="15" t="s">
        <v>2</v>
      </c>
      <c r="D3" s="15" t="s">
        <v>3</v>
      </c>
      <c r="E3" s="15" t="s">
        <v>4</v>
      </c>
      <c r="F3" s="16"/>
      <c r="G3" s="14" t="s">
        <v>5</v>
      </c>
      <c r="H3" s="14" t="s">
        <v>2</v>
      </c>
      <c r="I3" s="14" t="s">
        <v>3</v>
      </c>
      <c r="J3" s="14" t="s">
        <v>6</v>
      </c>
      <c r="K3" s="14" t="s">
        <v>4</v>
      </c>
      <c r="L3" s="17"/>
    </row>
    <row r="4" spans="1:12" ht="15.6" x14ac:dyDescent="0.3">
      <c r="A4" s="1"/>
      <c r="B4" s="3" t="s">
        <v>7</v>
      </c>
      <c r="C4" s="4">
        <f>IncomeTable[[#Totals],[FORECASTS]]</f>
        <v>63300</v>
      </c>
      <c r="D4" s="4">
        <f>IncomeTable[[#Totals],[REPORTED]]</f>
        <v>56950</v>
      </c>
      <c r="E4" s="4">
        <f>TotalsTable[[#This Row],[REPORTED]]-TotalsTable[[#This Row],[FORECASTS]]</f>
        <v>-6350</v>
      </c>
      <c r="F4" s="17"/>
      <c r="G4" s="5" t="s">
        <v>8</v>
      </c>
      <c r="H4" s="4">
        <v>60000</v>
      </c>
      <c r="I4" s="4">
        <v>54000</v>
      </c>
      <c r="J4" s="4">
        <f>IncomeTable[[#This Row],[REPORTED]]+(10^-6)*ROW(IncomeTable[[#This Row],[REPORTED]])</f>
        <v>54000.000004000001</v>
      </c>
      <c r="K4" s="4">
        <f>IncomeTable[[#This Row],[REPORTED]]-IncomeTable[[#This Row],[FORECASTS]]</f>
        <v>-6000</v>
      </c>
      <c r="L4" s="17"/>
    </row>
    <row r="5" spans="1:12" ht="15.6" x14ac:dyDescent="0.3">
      <c r="A5" s="1"/>
      <c r="B5" s="3" t="s">
        <v>9</v>
      </c>
      <c r="C5" s="4">
        <f>OperatingExpensesTable[[#Totals],[FORECASTS]]+PersonnelExpensesTable[[#Totals],[FORECASTS]]</f>
        <v>54500</v>
      </c>
      <c r="D5" s="4">
        <f>OperatingExpensesTable[[#Totals],[REPORTED]]+PersonnelExpensesTable[[#Totals],[REPORTED]]</f>
        <v>54130</v>
      </c>
      <c r="E5" s="4">
        <f>TotalsTable[[#This Row],[REPORTED]]-TotalsTable[[#This Row],[FORECASTS]]</f>
        <v>-370</v>
      </c>
      <c r="F5" s="17"/>
      <c r="G5" s="5" t="s">
        <v>10</v>
      </c>
      <c r="H5" s="4">
        <v>3000</v>
      </c>
      <c r="I5" s="4">
        <v>2500</v>
      </c>
      <c r="J5" s="4">
        <f>IncomeTable[[#This Row],[REPORTED]]+(10^-6)*ROW(IncomeTable[[#This Row],[REPORTED]])</f>
        <v>2500.0000049999999</v>
      </c>
      <c r="K5" s="4">
        <f>IncomeTable[[#This Row],[REPORTED]]-IncomeTable[[#This Row],[FORECASTS]]</f>
        <v>-500</v>
      </c>
      <c r="L5" s="17"/>
    </row>
    <row r="6" spans="1:12" ht="15.6" x14ac:dyDescent="0.3">
      <c r="A6" s="1"/>
      <c r="B6" s="3" t="s">
        <v>11</v>
      </c>
      <c r="C6" s="6">
        <f>C4-C5</f>
        <v>8800</v>
      </c>
      <c r="D6" s="6">
        <f>D4-D5</f>
        <v>2820</v>
      </c>
      <c r="E6" s="4">
        <f>TotalsTable[[#Totals],[REPORTED]]-TotalsTable[[#Totals],[FORECASTS]]</f>
        <v>-5980</v>
      </c>
      <c r="F6" s="17"/>
      <c r="G6" s="5" t="s">
        <v>12</v>
      </c>
      <c r="H6" s="4">
        <v>300</v>
      </c>
      <c r="I6" s="4">
        <v>450</v>
      </c>
      <c r="J6" s="4">
        <f>IncomeTable[[#This Row],[REPORTED]]+(10^-6)*ROW(IncomeTable[[#This Row],[REPORTED]])</f>
        <v>450.00000599999998</v>
      </c>
      <c r="K6" s="4">
        <f>IncomeTable[[#This Row],[REPORTED]]-IncomeTable[[#This Row],[FORECASTS]]</f>
        <v>150</v>
      </c>
      <c r="L6" s="17"/>
    </row>
    <row r="7" spans="1:12" ht="15.6" x14ac:dyDescent="0.3">
      <c r="A7" s="1"/>
      <c r="B7" s="1"/>
      <c r="C7" s="1"/>
      <c r="D7" s="1"/>
      <c r="E7" s="1"/>
      <c r="F7" s="17"/>
      <c r="G7" s="5" t="s">
        <v>13</v>
      </c>
      <c r="H7" s="6">
        <f>SUBTOTAL(109,IncomeTable[FORECASTS])</f>
        <v>63300</v>
      </c>
      <c r="I7" s="6">
        <f>SUBTOTAL(109,IncomeTable[REPORTED])</f>
        <v>56950</v>
      </c>
      <c r="J7" s="6"/>
      <c r="K7" s="6">
        <f>SUBTOTAL(109,IncomeTable[DIFFERENCE])</f>
        <v>-6350</v>
      </c>
      <c r="L7" s="17"/>
    </row>
    <row r="8" spans="1:12" x14ac:dyDescent="0.3">
      <c r="A8" s="1"/>
      <c r="B8" s="1"/>
      <c r="C8" s="1"/>
      <c r="D8" s="1"/>
      <c r="E8" s="1"/>
      <c r="F8" s="17"/>
      <c r="G8" s="17"/>
      <c r="H8" s="17"/>
      <c r="I8" s="17"/>
      <c r="J8" s="17"/>
      <c r="K8" s="17"/>
      <c r="L8" s="17"/>
    </row>
    <row r="9" spans="1:12" x14ac:dyDescent="0.3">
      <c r="A9" s="1"/>
      <c r="B9" s="1"/>
      <c r="C9" s="1"/>
      <c r="D9" s="1"/>
      <c r="E9" s="1"/>
      <c r="F9" s="17"/>
      <c r="G9" s="14" t="s">
        <v>14</v>
      </c>
      <c r="H9" s="14" t="s">
        <v>2</v>
      </c>
      <c r="I9" s="14" t="s">
        <v>3</v>
      </c>
      <c r="J9" s="14" t="s">
        <v>15</v>
      </c>
      <c r="K9" s="14" t="s">
        <v>4</v>
      </c>
      <c r="L9" s="17"/>
    </row>
    <row r="10" spans="1:12" ht="15.6" x14ac:dyDescent="0.3">
      <c r="A10" s="1"/>
      <c r="B10" s="1"/>
      <c r="C10" s="1"/>
      <c r="D10" s="1"/>
      <c r="E10" s="1"/>
      <c r="F10" s="17"/>
      <c r="G10" s="5" t="s">
        <v>16</v>
      </c>
      <c r="H10" s="4">
        <v>9500</v>
      </c>
      <c r="I10" s="4">
        <v>9600</v>
      </c>
      <c r="J10" s="6">
        <f>PersonnelExpensesTable[[#This Row],[REPORTED]]+(10^-6)*ROW(PersonnelExpensesTable[[#This Row],[REPORTED]])</f>
        <v>9600.0000099999997</v>
      </c>
      <c r="K10" s="4">
        <f>PersonnelExpensesTable[[#This Row],[FORECASTS]]-PersonnelExpensesTable[[#This Row],[REPORTED]]</f>
        <v>-100</v>
      </c>
      <c r="L10" s="17"/>
    </row>
    <row r="11" spans="1:12" ht="15.6" x14ac:dyDescent="0.3">
      <c r="A11" s="1"/>
      <c r="B11" s="1"/>
      <c r="C11" s="1"/>
      <c r="D11" s="1"/>
      <c r="E11" s="1"/>
      <c r="F11" s="17"/>
      <c r="G11" s="5" t="s">
        <v>17</v>
      </c>
      <c r="H11" s="4">
        <v>4000</v>
      </c>
      <c r="I11" s="4">
        <v>4500</v>
      </c>
      <c r="J11" s="6">
        <f>PersonnelExpensesTable[[#This Row],[REPORTED]]+(10^-6)*ROW(PersonnelExpensesTable[[#This Row],[REPORTED]])</f>
        <v>4500.0000110000001</v>
      </c>
      <c r="K11" s="4">
        <f>PersonnelExpensesTable[[#This Row],[FORECASTS]]-PersonnelExpensesTable[[#This Row],[REPORTED]]</f>
        <v>-500</v>
      </c>
      <c r="L11" s="17"/>
    </row>
    <row r="12" spans="1:12" ht="15.6" x14ac:dyDescent="0.3">
      <c r="A12" s="1"/>
      <c r="B12" s="1"/>
      <c r="C12" s="1"/>
      <c r="D12" s="1"/>
      <c r="E12" s="1"/>
      <c r="F12" s="17"/>
      <c r="G12" s="5" t="s">
        <v>18</v>
      </c>
      <c r="H12" s="4">
        <v>5000</v>
      </c>
      <c r="I12" s="4">
        <v>4500</v>
      </c>
      <c r="J12" s="6">
        <f>PersonnelExpensesTable[[#This Row],[REPORTED]]+(10^-6)*ROW(PersonnelExpensesTable[[#This Row],[REPORTED]])</f>
        <v>4500.0000120000004</v>
      </c>
      <c r="K12" s="4">
        <f>PersonnelExpensesTable[[#This Row],[FORECASTS]]-PersonnelExpensesTable[[#This Row],[REPORTED]]</f>
        <v>500</v>
      </c>
      <c r="L12" s="17"/>
    </row>
    <row r="13" spans="1:12" ht="15.6" x14ac:dyDescent="0.3">
      <c r="A13" s="1"/>
      <c r="B13" s="1"/>
      <c r="C13" s="1"/>
      <c r="D13" s="1"/>
      <c r="E13" s="1"/>
      <c r="F13" s="17"/>
      <c r="G13" s="5" t="s">
        <v>19</v>
      </c>
      <c r="H13" s="6">
        <f>SUBTOTAL(109,PersonnelExpensesTable[FORECASTS])</f>
        <v>18500</v>
      </c>
      <c r="I13" s="6">
        <f>SUBTOTAL(109,PersonnelExpensesTable[REPORTED])</f>
        <v>18600</v>
      </c>
      <c r="J13" s="6"/>
      <c r="K13" s="6">
        <f>SUBTOTAL(109,PersonnelExpensesTable[DIFFERENCE])</f>
        <v>-100</v>
      </c>
      <c r="L13" s="17"/>
    </row>
    <row r="14" spans="1:12" x14ac:dyDescent="0.3">
      <c r="A14" s="1"/>
      <c r="B14" s="1"/>
      <c r="C14" s="1"/>
      <c r="D14" s="1"/>
      <c r="E14" s="1"/>
      <c r="F14" s="17"/>
      <c r="G14" s="17"/>
      <c r="H14" s="17"/>
      <c r="I14" s="17"/>
      <c r="J14" s="17"/>
      <c r="K14" s="17"/>
      <c r="L14" s="17"/>
    </row>
    <row r="15" spans="1:12" x14ac:dyDescent="0.3">
      <c r="A15" s="1"/>
      <c r="B15" s="1"/>
      <c r="C15" s="1"/>
      <c r="D15" s="1"/>
      <c r="E15" s="1"/>
      <c r="F15" s="17"/>
      <c r="G15" s="14" t="s">
        <v>20</v>
      </c>
      <c r="H15" s="14" t="s">
        <v>2</v>
      </c>
      <c r="I15" s="14" t="s">
        <v>3</v>
      </c>
      <c r="J15" s="14" t="s">
        <v>15</v>
      </c>
      <c r="K15" s="14" t="s">
        <v>4</v>
      </c>
      <c r="L15" s="17"/>
    </row>
    <row r="16" spans="1:12" ht="15.6" x14ac:dyDescent="0.3">
      <c r="A16" s="1"/>
      <c r="B16" s="1"/>
      <c r="C16" s="1"/>
      <c r="D16" s="1"/>
      <c r="E16" s="1"/>
      <c r="F16" s="17"/>
      <c r="G16" s="5" t="s">
        <v>21</v>
      </c>
      <c r="H16" s="4">
        <v>3000</v>
      </c>
      <c r="I16" s="4">
        <v>2500</v>
      </c>
      <c r="J16" s="4">
        <f>OperatingExpensesTable[[#This Row],[REPORTED]]+(10^-6)*ROW(OperatingExpensesTable[[#This Row],[REPORTED]])</f>
        <v>2500.000016</v>
      </c>
      <c r="K16" s="4">
        <f>OperatingExpensesTable[[#This Row],[FORECASTS]]-OperatingExpensesTable[[#This Row],[REPORTED]]</f>
        <v>500</v>
      </c>
      <c r="L16" s="17"/>
    </row>
    <row r="17" spans="1:12" ht="15.6" x14ac:dyDescent="0.3">
      <c r="A17" s="1"/>
      <c r="B17" s="1"/>
      <c r="C17" s="1"/>
      <c r="D17" s="1"/>
      <c r="E17" s="1"/>
      <c r="F17" s="17"/>
      <c r="G17" s="5" t="s">
        <v>22</v>
      </c>
      <c r="H17" s="4">
        <v>2000</v>
      </c>
      <c r="I17" s="4">
        <v>2000</v>
      </c>
      <c r="J17" s="4">
        <f>OperatingExpensesTable[[#This Row],[REPORTED]]+(10^-6)*ROW(OperatingExpensesTable[[#This Row],[REPORTED]])</f>
        <v>2000.0000170000001</v>
      </c>
      <c r="K17" s="4">
        <f>OperatingExpensesTable[[#This Row],[FORECASTS]]-OperatingExpensesTable[[#This Row],[REPORTED]]</f>
        <v>0</v>
      </c>
      <c r="L17" s="17"/>
    </row>
    <row r="18" spans="1:12" ht="15.6" x14ac:dyDescent="0.3">
      <c r="A18" s="1"/>
      <c r="B18" s="1"/>
      <c r="C18" s="1"/>
      <c r="D18" s="1"/>
      <c r="E18" s="1"/>
      <c r="F18" s="17"/>
      <c r="G18" s="5" t="s">
        <v>23</v>
      </c>
      <c r="H18" s="4">
        <v>1500</v>
      </c>
      <c r="I18" s="4">
        <v>2175</v>
      </c>
      <c r="J18" s="4">
        <f>OperatingExpensesTable[[#This Row],[REPORTED]]+(10^-6)*ROW(OperatingExpensesTable[[#This Row],[REPORTED]])</f>
        <v>2175.0000180000002</v>
      </c>
      <c r="K18" s="4">
        <f>OperatingExpensesTable[[#This Row],[FORECASTS]]-OperatingExpensesTable[[#This Row],[REPORTED]]</f>
        <v>-675</v>
      </c>
      <c r="L18" s="17"/>
    </row>
    <row r="19" spans="1:12" ht="15.6" x14ac:dyDescent="0.3">
      <c r="A19" s="1"/>
      <c r="B19" s="1"/>
      <c r="C19" s="1"/>
      <c r="D19" s="1"/>
      <c r="E19" s="1"/>
      <c r="F19" s="17"/>
      <c r="G19" s="5" t="s">
        <v>24</v>
      </c>
      <c r="H19" s="4">
        <v>2000</v>
      </c>
      <c r="I19" s="4">
        <v>1500</v>
      </c>
      <c r="J19" s="4">
        <f>OperatingExpensesTable[[#This Row],[REPORTED]]+(10^-6)*ROW(OperatingExpensesTable[[#This Row],[REPORTED]])</f>
        <v>1500.0000190000001</v>
      </c>
      <c r="K19" s="4">
        <f>OperatingExpensesTable[[#This Row],[FORECASTS]]-OperatingExpensesTable[[#This Row],[REPORTED]]</f>
        <v>500</v>
      </c>
      <c r="L19" s="17"/>
    </row>
    <row r="20" spans="1:12" ht="15.6" x14ac:dyDescent="0.3">
      <c r="A20" s="1"/>
      <c r="B20" s="1"/>
      <c r="C20" s="1"/>
      <c r="D20" s="1"/>
      <c r="E20" s="1"/>
      <c r="F20" s="17"/>
      <c r="G20" s="5" t="s">
        <v>25</v>
      </c>
      <c r="H20" s="4">
        <v>1000</v>
      </c>
      <c r="I20" s="4">
        <v>1000</v>
      </c>
      <c r="J20" s="4">
        <f>OperatingExpensesTable[[#This Row],[REPORTED]]+(10^-6)*ROW(OperatingExpensesTable[[#This Row],[REPORTED]])</f>
        <v>1000.0000199999999</v>
      </c>
      <c r="K20" s="4">
        <f>OperatingExpensesTable[[#This Row],[FORECASTS]]-OperatingExpensesTable[[#This Row],[REPORTED]]</f>
        <v>0</v>
      </c>
      <c r="L20" s="17"/>
    </row>
    <row r="21" spans="1:12" ht="15.6" x14ac:dyDescent="0.3">
      <c r="A21" s="1"/>
      <c r="B21" s="1"/>
      <c r="C21" s="1"/>
      <c r="D21" s="1"/>
      <c r="E21" s="1"/>
      <c r="F21" s="17"/>
      <c r="G21" s="5" t="s">
        <v>26</v>
      </c>
      <c r="H21" s="4">
        <v>500</v>
      </c>
      <c r="I21" s="4">
        <v>525</v>
      </c>
      <c r="J21" s="4">
        <f>OperatingExpensesTable[[#This Row],[REPORTED]]+(10^-6)*ROW(OperatingExpensesTable[[#This Row],[REPORTED]])</f>
        <v>525.00002099999995</v>
      </c>
      <c r="K21" s="4">
        <f>OperatingExpensesTable[[#This Row],[FORECASTS]]-OperatingExpensesTable[[#This Row],[REPORTED]]</f>
        <v>-25</v>
      </c>
      <c r="L21" s="17"/>
    </row>
    <row r="22" spans="1:12" ht="15.6" x14ac:dyDescent="0.3">
      <c r="A22" s="1"/>
      <c r="B22" s="1"/>
      <c r="C22" s="1"/>
      <c r="D22" s="1"/>
      <c r="E22" s="1"/>
      <c r="F22" s="17"/>
      <c r="G22" s="5" t="s">
        <v>27</v>
      </c>
      <c r="H22" s="4">
        <v>1300</v>
      </c>
      <c r="I22" s="4">
        <v>1275</v>
      </c>
      <c r="J22" s="4">
        <f>OperatingExpensesTable[[#This Row],[REPORTED]]+(10^-6)*ROW(OperatingExpensesTable[[#This Row],[REPORTED]])</f>
        <v>1275.0000219999999</v>
      </c>
      <c r="K22" s="4">
        <f>OperatingExpensesTable[[#This Row],[FORECASTS]]-OperatingExpensesTable[[#This Row],[REPORTED]]</f>
        <v>25</v>
      </c>
      <c r="L22" s="17"/>
    </row>
    <row r="23" spans="1:12" ht="15.6" x14ac:dyDescent="0.3">
      <c r="A23" s="1"/>
      <c r="B23" s="1"/>
      <c r="C23" s="1"/>
      <c r="D23" s="1"/>
      <c r="E23" s="1"/>
      <c r="F23" s="17"/>
      <c r="G23" s="5" t="s">
        <v>28</v>
      </c>
      <c r="H23" s="4">
        <v>2000</v>
      </c>
      <c r="I23" s="4">
        <v>2200</v>
      </c>
      <c r="J23" s="4">
        <f>OperatingExpensesTable[[#This Row],[REPORTED]]+(10^-6)*ROW(OperatingExpensesTable[[#This Row],[REPORTED]])</f>
        <v>2200.0000230000001</v>
      </c>
      <c r="K23" s="4">
        <f>OperatingExpensesTable[[#This Row],[FORECASTS]]-OperatingExpensesTable[[#This Row],[REPORTED]]</f>
        <v>-200</v>
      </c>
      <c r="L23" s="17"/>
    </row>
    <row r="24" spans="1:12" ht="15.6" x14ac:dyDescent="0.3">
      <c r="A24" s="1"/>
      <c r="B24" s="1"/>
      <c r="C24" s="1"/>
      <c r="D24" s="1"/>
      <c r="E24" s="1"/>
      <c r="F24" s="17"/>
      <c r="G24" s="5" t="s">
        <v>29</v>
      </c>
      <c r="H24" s="4">
        <v>1000</v>
      </c>
      <c r="I24" s="4">
        <v>800</v>
      </c>
      <c r="J24" s="4">
        <f>OperatingExpensesTable[[#This Row],[REPORTED]]+(10^-6)*ROW(OperatingExpensesTable[[#This Row],[REPORTED]])</f>
        <v>800.00002400000005</v>
      </c>
      <c r="K24" s="4">
        <f>OperatingExpensesTable[[#This Row],[FORECASTS]]-OperatingExpensesTable[[#This Row],[REPORTED]]</f>
        <v>200</v>
      </c>
      <c r="L24" s="17"/>
    </row>
    <row r="25" spans="1:12" ht="15.6" x14ac:dyDescent="0.3">
      <c r="A25" s="1"/>
      <c r="B25" s="1"/>
      <c r="C25" s="1"/>
      <c r="D25" s="8"/>
      <c r="E25" s="1"/>
      <c r="F25" s="17"/>
      <c r="G25" s="5" t="s">
        <v>30</v>
      </c>
      <c r="H25" s="4">
        <v>4500</v>
      </c>
      <c r="I25" s="4">
        <v>4600</v>
      </c>
      <c r="J25" s="4">
        <f>OperatingExpensesTable[[#This Row],[REPORTED]]+(10^-6)*ROW(OperatingExpensesTable[[#This Row],[REPORTED]])</f>
        <v>4600.0000250000003</v>
      </c>
      <c r="K25" s="4">
        <f>OperatingExpensesTable[[#This Row],[FORECASTS]]-OperatingExpensesTable[[#This Row],[REPORTED]]</f>
        <v>-100</v>
      </c>
      <c r="L25" s="17"/>
    </row>
    <row r="26" spans="1:12" ht="15.6" x14ac:dyDescent="0.3">
      <c r="A26" s="1"/>
      <c r="B26" s="1"/>
      <c r="C26" s="1"/>
      <c r="D26" s="8"/>
      <c r="E26" s="1"/>
      <c r="F26" s="17"/>
      <c r="G26" s="5" t="s">
        <v>31</v>
      </c>
      <c r="H26" s="4">
        <v>800</v>
      </c>
      <c r="I26" s="4">
        <v>750</v>
      </c>
      <c r="J26" s="4">
        <f>OperatingExpensesTable[[#This Row],[REPORTED]]+(10^-6)*ROW(OperatingExpensesTable[[#This Row],[REPORTED]])</f>
        <v>750.00002600000005</v>
      </c>
      <c r="K26" s="4">
        <f>OperatingExpensesTable[[#This Row],[FORECASTS]]-OperatingExpensesTable[[#This Row],[REPORTED]]</f>
        <v>50</v>
      </c>
      <c r="L26" s="17"/>
    </row>
    <row r="27" spans="1:12" ht="15.6" x14ac:dyDescent="0.3">
      <c r="A27" s="1"/>
      <c r="B27" s="1"/>
      <c r="C27" s="1"/>
      <c r="D27" s="8"/>
      <c r="E27" s="1"/>
      <c r="F27" s="17"/>
      <c r="G27" s="5" t="s">
        <v>32</v>
      </c>
      <c r="H27" s="4">
        <v>400</v>
      </c>
      <c r="I27" s="4">
        <v>350</v>
      </c>
      <c r="J27" s="4">
        <f>OperatingExpensesTable[[#This Row],[REPORTED]]+(10^-6)*ROW(OperatingExpensesTable[[#This Row],[REPORTED]])</f>
        <v>350.00002699999999</v>
      </c>
      <c r="K27" s="4">
        <f>OperatingExpensesTable[[#This Row],[FORECASTS]]-OperatingExpensesTable[[#This Row],[REPORTED]]</f>
        <v>50</v>
      </c>
      <c r="L27" s="17"/>
    </row>
    <row r="28" spans="1:12" ht="15.6" x14ac:dyDescent="0.3">
      <c r="A28" s="1"/>
      <c r="B28" s="24"/>
      <c r="C28" s="24"/>
      <c r="D28" s="24"/>
      <c r="E28" s="1"/>
      <c r="F28" s="17"/>
      <c r="G28" s="5" t="s">
        <v>33</v>
      </c>
      <c r="H28" s="4">
        <v>4100</v>
      </c>
      <c r="I28" s="4">
        <v>4500</v>
      </c>
      <c r="J28" s="4">
        <f>OperatingExpensesTable[[#This Row],[REPORTED]]+(10^-6)*ROW(OperatingExpensesTable[[#This Row],[REPORTED]])</f>
        <v>4500.0000280000004</v>
      </c>
      <c r="K28" s="4">
        <f>OperatingExpensesTable[[#This Row],[FORECASTS]]-OperatingExpensesTable[[#This Row],[REPORTED]]</f>
        <v>-400</v>
      </c>
      <c r="L28" s="17"/>
    </row>
    <row r="29" spans="1:12" ht="15.6" x14ac:dyDescent="0.3">
      <c r="A29" s="1"/>
      <c r="B29" s="9" t="s">
        <v>34</v>
      </c>
      <c r="C29" s="9"/>
      <c r="D29" s="9"/>
      <c r="E29" s="9"/>
      <c r="F29" s="17"/>
      <c r="G29" s="5" t="s">
        <v>35</v>
      </c>
      <c r="H29" s="4">
        <v>350</v>
      </c>
      <c r="I29" s="4">
        <v>400</v>
      </c>
      <c r="J29" s="4">
        <f>OperatingExpensesTable[[#This Row],[REPORTED]]+(10^-6)*ROW(OperatingExpensesTable[[#This Row],[REPORTED]])</f>
        <v>400.00002899999998</v>
      </c>
      <c r="K29" s="4">
        <f>OperatingExpensesTable[[#This Row],[FORECASTS]]-OperatingExpensesTable[[#This Row],[REPORTED]]</f>
        <v>-50</v>
      </c>
      <c r="L29" s="17"/>
    </row>
    <row r="30" spans="1:12" ht="15.6" x14ac:dyDescent="0.3">
      <c r="A30" s="1"/>
      <c r="B30" s="14" t="s">
        <v>36</v>
      </c>
      <c r="C30" s="14" t="s">
        <v>37</v>
      </c>
      <c r="D30" s="14" t="s">
        <v>38</v>
      </c>
      <c r="E30" s="18" t="s">
        <v>39</v>
      </c>
      <c r="F30" s="17"/>
      <c r="G30" s="5" t="s">
        <v>40</v>
      </c>
      <c r="H30" s="4">
        <v>900</v>
      </c>
      <c r="I30" s="4">
        <v>840</v>
      </c>
      <c r="J30" s="4">
        <f>OperatingExpensesTable[[#This Row],[REPORTED]]+(10^-6)*ROW(OperatingExpensesTable[[#This Row],[REPORTED]])</f>
        <v>840.00003000000004</v>
      </c>
      <c r="K30" s="4">
        <f>OperatingExpensesTable[[#This Row],[FORECASTS]]-OperatingExpensesTable[[#This Row],[REPORTED]]</f>
        <v>60</v>
      </c>
      <c r="L30" s="17"/>
    </row>
    <row r="31" spans="1:12" ht="15.6" x14ac:dyDescent="0.3">
      <c r="A31" s="1"/>
      <c r="B31" s="5" t="str">
        <f>INDEX(OperatingExpensesTable[],MATCH(Top5Expenses[[#This Row],[VALUE]],OperatingExpensesTable[Top 5 Amount],0),1)</f>
        <v>Maintenance and repair</v>
      </c>
      <c r="C31" s="7">
        <f>LARGE(OperatingExpensesTable[Top 5 Amount],1)</f>
        <v>4600.0000250000003</v>
      </c>
      <c r="D31" s="10">
        <f>Top5Expenses[[#This Row],[VALUE]]/$C$4</f>
        <v>7.2669826619273306E-2</v>
      </c>
      <c r="E31" s="4">
        <f>Top5Expenses[[#This Row],[VALUE]]*0.15</f>
        <v>690.00000375000002</v>
      </c>
      <c r="F31" s="17"/>
      <c r="G31" s="5" t="s">
        <v>41</v>
      </c>
      <c r="H31" s="4">
        <v>5000</v>
      </c>
      <c r="I31" s="4">
        <v>4500</v>
      </c>
      <c r="J31" s="4">
        <f>OperatingExpensesTable[[#This Row],[REPORTED]]+(10^-6)*ROW(OperatingExpensesTable[[#This Row],[REPORTED]])</f>
        <v>4500.0000309999996</v>
      </c>
      <c r="K31" s="4">
        <f>OperatingExpensesTable[[#This Row],[FORECASTS]]-OperatingExpensesTable[[#This Row],[REPORTED]]</f>
        <v>500</v>
      </c>
      <c r="L31" s="17"/>
    </row>
    <row r="32" spans="1:12" ht="15.6" x14ac:dyDescent="0.3">
      <c r="A32" s="1"/>
      <c r="B32" s="5" t="str">
        <f>INDEX(OperatingExpensesTable[],MATCH(Top5Expenses[[#This Row],[VALUE]],OperatingExpensesTable[Top 5 Amount],0),1)</f>
        <v>Delivery</v>
      </c>
      <c r="C32" s="7">
        <f>LARGE(OperatingExpensesTable[Top 5 Amount],2)</f>
        <v>4500.0000309999996</v>
      </c>
      <c r="D32" s="10">
        <f>Top5Expenses[[#This Row],[VALUE]]/$C$4</f>
        <v>7.1090047883096363E-2</v>
      </c>
      <c r="E32" s="4">
        <f>Top5Expenses[[#This Row],[VALUE]]*0.15</f>
        <v>675.00000464999994</v>
      </c>
      <c r="F32" s="17"/>
      <c r="G32" s="5" t="s">
        <v>42</v>
      </c>
      <c r="H32" s="4">
        <v>3000</v>
      </c>
      <c r="I32" s="4">
        <v>3200</v>
      </c>
      <c r="J32" s="4">
        <f>OperatingExpensesTable[[#This Row],[REPORTED]]+(10^-6)*ROW(OperatingExpensesTable[[#This Row],[REPORTED]])</f>
        <v>3200.0000319999999</v>
      </c>
      <c r="K32" s="4">
        <f>OperatingExpensesTable[[#This Row],[FORECASTS]]-OperatingExpensesTable[[#This Row],[REPORTED]]</f>
        <v>-200</v>
      </c>
      <c r="L32" s="17"/>
    </row>
    <row r="33" spans="1:12" ht="15.6" x14ac:dyDescent="0.3">
      <c r="A33" s="1"/>
      <c r="B33" s="5" t="str">
        <f>INDEX(OperatingExpensesTable[],MATCH(Top5Expenses[[#This Row],[VALUE]],OperatingExpensesTable[Top 5 Amount],0),1)</f>
        <v>Rent and mortgage</v>
      </c>
      <c r="C33" s="7">
        <f>LARGE(OperatingExpensesTable[Top 5 Amount],3)</f>
        <v>4500.0000280000004</v>
      </c>
      <c r="D33" s="10">
        <f>Top5Expenses[[#This Row],[VALUE]]/$C$4</f>
        <v>7.109004783570301E-2</v>
      </c>
      <c r="E33" s="4">
        <f>Top5Expenses[[#This Row],[VALUE]]*0.15</f>
        <v>675.00000420000003</v>
      </c>
      <c r="F33" s="17"/>
      <c r="G33" s="5" t="s">
        <v>43</v>
      </c>
      <c r="H33" s="4">
        <v>250</v>
      </c>
      <c r="I33" s="4">
        <v>280</v>
      </c>
      <c r="J33" s="4">
        <f>OperatingExpensesTable[[#This Row],[REPORTED]]+(10^-6)*ROW(OperatingExpensesTable[[#This Row],[REPORTED]])</f>
        <v>280.00003299999997</v>
      </c>
      <c r="K33" s="4">
        <f>OperatingExpensesTable[[#This Row],[FORECASTS]]-OperatingExpensesTable[[#This Row],[REPORTED]]</f>
        <v>-30</v>
      </c>
      <c r="L33" s="17"/>
    </row>
    <row r="34" spans="1:12" ht="15.6" x14ac:dyDescent="0.3">
      <c r="A34" s="1"/>
      <c r="B34" s="5" t="str">
        <f>INDEX(OperatingExpensesTable[],MATCH(Top5Expenses[[#This Row],[VALUE]],OperatingExpensesTable[Top 5 Amount],0),1)</f>
        <v>Taxes</v>
      </c>
      <c r="C34" s="7">
        <f>LARGE(OperatingExpensesTable[Top 5 Amount],4)</f>
        <v>3200.0000319999999</v>
      </c>
      <c r="D34" s="10">
        <f>Top5Expenses[[#This Row],[VALUE]]/$C$4</f>
        <v>5.0552923096366505E-2</v>
      </c>
      <c r="E34" s="4">
        <f>Top5Expenses[[#This Row],[VALUE]]*0.15</f>
        <v>480.00000479999994</v>
      </c>
      <c r="F34" s="17"/>
      <c r="G34" s="5" t="s">
        <v>44</v>
      </c>
      <c r="H34" s="4">
        <v>1400</v>
      </c>
      <c r="I34" s="4">
        <v>1385</v>
      </c>
      <c r="J34" s="4">
        <f>OperatingExpensesTable[[#This Row],[REPORTED]]+(10^-6)*ROW(OperatingExpensesTable[[#This Row],[REPORTED]])</f>
        <v>1385.0000339999999</v>
      </c>
      <c r="K34" s="4">
        <f>OperatingExpensesTable[[#This Row],[FORECASTS]]-OperatingExpensesTable[[#This Row],[REPORTED]]</f>
        <v>15</v>
      </c>
      <c r="L34" s="17"/>
    </row>
    <row r="35" spans="1:12" ht="15.6" x14ac:dyDescent="0.3">
      <c r="A35" s="1"/>
      <c r="B35" s="5" t="str">
        <f>INDEX(OperatingExpensesTable[],MATCH(Top5Expenses[[#This Row],[VALUE]],OperatingExpensesTable[Top 5 Amount],0),1)</f>
        <v>Advertising</v>
      </c>
      <c r="C35" s="7">
        <f>LARGE(OperatingExpensesTable[Top 5 Amount],5)</f>
        <v>2500.000016</v>
      </c>
      <c r="D35" s="10">
        <f>Top5Expenses[[#This Row],[VALUE]]/$C$4</f>
        <v>3.9494471026856243E-2</v>
      </c>
      <c r="E35" s="4">
        <f>Top5Expenses[[#This Row],[VALUE]]*0.15</f>
        <v>375.00000239999997</v>
      </c>
      <c r="F35" s="17"/>
      <c r="G35" s="5" t="s">
        <v>45</v>
      </c>
      <c r="H35" s="4">
        <v>1000</v>
      </c>
      <c r="I35" s="4">
        <v>750</v>
      </c>
      <c r="J35" s="4">
        <f>OperatingExpensesTable[[#This Row],[REPORTED]]+(10^-6)*ROW(OperatingExpensesTable[[#This Row],[REPORTED]])</f>
        <v>750.00003500000003</v>
      </c>
      <c r="K35" s="4">
        <f>OperatingExpensesTable[[#This Row],[FORECASTS]]-OperatingExpensesTable[[#This Row],[REPORTED]]</f>
        <v>250</v>
      </c>
      <c r="L35" s="17"/>
    </row>
    <row r="36" spans="1:12" ht="15.6" x14ac:dyDescent="0.3">
      <c r="A36" s="1"/>
      <c r="B36" s="5" t="s">
        <v>13</v>
      </c>
      <c r="C36" s="11">
        <f>SUBTOTAL(109,Top5Expenses[VALUE])</f>
        <v>19300.000132000001</v>
      </c>
      <c r="D36" s="12">
        <f>SUBTOTAL(109,Top5Expenses[% OF COSTS])</f>
        <v>0.30489731646129536</v>
      </c>
      <c r="E36" s="4">
        <f>SUBTOTAL(109,Top5Expenses[15% DISCOUNT])</f>
        <v>2895.0000197999998</v>
      </c>
      <c r="F36" s="17"/>
      <c r="G36" s="5" t="s">
        <v>46</v>
      </c>
      <c r="H36" s="6">
        <f>SUBTOTAL(109,OperatingExpensesTable[FORECASTS])</f>
        <v>36000</v>
      </c>
      <c r="I36" s="6">
        <f>SUBTOTAL(109,OperatingExpensesTable[REPORTED])</f>
        <v>35530</v>
      </c>
      <c r="J36" s="6">
        <f>SUBTOTAL(109,OperatingExpensesTable[Top 5 Amount])</f>
        <v>35530.000509999991</v>
      </c>
      <c r="K36" s="6">
        <f>SUBTOTAL(109,OperatingExpensesTable[DIFFERENCE])</f>
        <v>470</v>
      </c>
      <c r="L36" s="17"/>
    </row>
    <row r="37" spans="1:12" x14ac:dyDescent="0.3">
      <c r="A37" s="17"/>
      <c r="B37" s="17" t="s">
        <v>47</v>
      </c>
      <c r="C37" s="17"/>
      <c r="D37" s="17"/>
      <c r="E37" s="17"/>
      <c r="F37" s="17"/>
      <c r="G37" s="17" t="s">
        <v>47</v>
      </c>
      <c r="H37" s="17"/>
      <c r="I37" s="17"/>
      <c r="J37" s="17"/>
      <c r="K37" s="17"/>
      <c r="L37" s="17"/>
    </row>
    <row r="38" spans="1:1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</sheetData>
  <mergeCells count="2">
    <mergeCell ref="K1:L1"/>
    <mergeCell ref="B28:D28"/>
  </mergeCells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lidiya</dc:creator>
  <cp:lastModifiedBy>lidiya</cp:lastModifiedBy>
  <dcterms:created xsi:type="dcterms:W3CDTF">2020-10-12T16:45:12Z</dcterms:created>
  <dcterms:modified xsi:type="dcterms:W3CDTF">2020-10-14T08:54:46Z</dcterms:modified>
</cp:coreProperties>
</file>