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6392" windowHeight="4872" activeTab="1"/>
  </bookViews>
  <sheets>
    <sheet name="averageif" sheetId="1" r:id="rId1"/>
    <sheet name="sumifs" sheetId="6" r:id="rId2"/>
    <sheet name="convert" sheetId="2" r:id="rId3"/>
    <sheet name="if" sheetId="3" r:id="rId4"/>
    <sheet name="week_fun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E15" i="1" l="1"/>
  <c r="E16" i="1"/>
  <c r="E17" i="1"/>
  <c r="F16" i="5" l="1"/>
  <c r="M14" i="6" l="1"/>
  <c r="L13" i="6"/>
  <c r="F14" i="6"/>
  <c r="F13" i="6"/>
  <c r="F12" i="6"/>
  <c r="F11" i="6"/>
  <c r="F10" i="6"/>
  <c r="F9" i="6"/>
  <c r="F8" i="6"/>
  <c r="F7" i="6"/>
  <c r="J6" i="6"/>
  <c r="F6" i="6"/>
  <c r="F5" i="6"/>
  <c r="F4" i="6"/>
  <c r="J3" i="6"/>
  <c r="F3" i="6"/>
  <c r="G22" i="5" l="1"/>
  <c r="F22" i="5"/>
  <c r="D22" i="5"/>
  <c r="E22" i="5" s="1"/>
  <c r="G21" i="5"/>
  <c r="F21" i="5"/>
  <c r="D21" i="5"/>
  <c r="E21" i="5" s="1"/>
  <c r="G20" i="5"/>
  <c r="F20" i="5"/>
  <c r="D20" i="5"/>
  <c r="E20" i="5" s="1"/>
  <c r="G19" i="5"/>
  <c r="F19" i="5"/>
  <c r="D19" i="5"/>
  <c r="E19" i="5" s="1"/>
  <c r="G18" i="5"/>
  <c r="F18" i="5"/>
  <c r="D18" i="5"/>
  <c r="E18" i="5" s="1"/>
  <c r="G17" i="5"/>
  <c r="F17" i="5"/>
  <c r="D17" i="5"/>
  <c r="E17" i="5" s="1"/>
  <c r="G16" i="5"/>
  <c r="D16" i="5"/>
  <c r="E16" i="5" s="1"/>
  <c r="G15" i="5"/>
  <c r="F15" i="5"/>
  <c r="D15" i="5"/>
  <c r="E15" i="5" s="1"/>
  <c r="G14" i="5"/>
  <c r="F14" i="5"/>
  <c r="D14" i="5"/>
  <c r="E14" i="5" s="1"/>
  <c r="G13" i="5"/>
  <c r="F13" i="5"/>
  <c r="D13" i="5"/>
  <c r="E13" i="5" s="1"/>
  <c r="G12" i="5"/>
  <c r="F12" i="5"/>
  <c r="D12" i="5"/>
  <c r="E12" i="5" s="1"/>
  <c r="G11" i="5"/>
  <c r="F11" i="5"/>
  <c r="D11" i="5"/>
  <c r="E11" i="5" s="1"/>
  <c r="G10" i="5"/>
  <c r="F10" i="5"/>
  <c r="D10" i="5"/>
  <c r="E10" i="5" s="1"/>
  <c r="G9" i="5"/>
  <c r="F9" i="5"/>
  <c r="D9" i="5"/>
  <c r="E9" i="5" s="1"/>
  <c r="G8" i="5"/>
  <c r="F8" i="5"/>
  <c r="D8" i="5"/>
  <c r="E8" i="5" s="1"/>
  <c r="G7" i="5"/>
  <c r="F7" i="5"/>
  <c r="D7" i="5"/>
  <c r="E7" i="5" s="1"/>
  <c r="L7" i="5" s="1"/>
  <c r="G6" i="5"/>
  <c r="F6" i="5"/>
  <c r="D6" i="5"/>
  <c r="E6" i="5" s="1"/>
  <c r="L6" i="5" s="1"/>
  <c r="G5" i="5"/>
  <c r="F5" i="5"/>
  <c r="D5" i="5"/>
  <c r="E5" i="5" s="1"/>
  <c r="L5" i="5" s="1"/>
  <c r="G4" i="5"/>
  <c r="F4" i="5"/>
  <c r="D4" i="5"/>
  <c r="E4" i="5" s="1"/>
  <c r="G3" i="5"/>
  <c r="F3" i="5"/>
  <c r="D3" i="5"/>
  <c r="E3" i="5" s="1"/>
  <c r="L3" i="5" s="1"/>
  <c r="M17" i="5" l="1"/>
  <c r="M13" i="5"/>
  <c r="M16" i="5"/>
  <c r="M12" i="5"/>
  <c r="M15" i="5"/>
  <c r="M11" i="5"/>
  <c r="M14" i="5"/>
  <c r="M22" i="5"/>
  <c r="M21" i="5"/>
  <c r="M20" i="5"/>
  <c r="M23" i="5"/>
  <c r="L4" i="5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H15" i="3" s="1"/>
  <c r="D6" i="3"/>
  <c r="E6" i="3" s="1"/>
  <c r="H14" i="3" s="1"/>
  <c r="D5" i="3"/>
  <c r="E5" i="3" s="1"/>
  <c r="D4" i="3"/>
  <c r="E4" i="3" s="1"/>
  <c r="D3" i="3"/>
  <c r="E3" i="3" s="1"/>
  <c r="H13" i="3" l="1"/>
  <c r="H12" i="3"/>
  <c r="H11" i="3"/>
  <c r="E6" i="2"/>
  <c r="E5" i="2"/>
  <c r="E4" i="2"/>
  <c r="E3" i="2"/>
  <c r="K13" i="1" l="1"/>
  <c r="L13" i="1"/>
  <c r="H13" i="1"/>
  <c r="N13" i="1"/>
  <c r="M13" i="1"/>
  <c r="J13" i="1"/>
  <c r="I13" i="1"/>
  <c r="G13" i="1"/>
  <c r="F13" i="1"/>
  <c r="E13" i="1"/>
  <c r="D13" i="1"/>
  <c r="C13" i="1"/>
  <c r="S12" i="1"/>
  <c r="R12" i="1"/>
  <c r="Q12" i="1"/>
  <c r="O12" i="1"/>
  <c r="S11" i="1"/>
  <c r="R11" i="1"/>
  <c r="Q11" i="1"/>
  <c r="O11" i="1"/>
  <c r="S10" i="1"/>
  <c r="R10" i="1"/>
  <c r="Q10" i="1"/>
  <c r="O10" i="1"/>
  <c r="S9" i="1"/>
  <c r="R9" i="1"/>
  <c r="Q9" i="1"/>
  <c r="O9" i="1"/>
  <c r="S8" i="1"/>
  <c r="R8" i="1"/>
  <c r="Q8" i="1"/>
  <c r="O8" i="1"/>
  <c r="S7" i="1"/>
  <c r="R7" i="1"/>
  <c r="Q7" i="1"/>
  <c r="O7" i="1"/>
  <c r="S6" i="1"/>
  <c r="R6" i="1"/>
  <c r="Q6" i="1"/>
  <c r="O6" i="1"/>
  <c r="S5" i="1"/>
  <c r="R5" i="1"/>
  <c r="Q5" i="1"/>
  <c r="O5" i="1"/>
  <c r="S4" i="1"/>
  <c r="R4" i="1"/>
  <c r="Q4" i="1"/>
  <c r="O4" i="1"/>
  <c r="S3" i="1"/>
  <c r="R3" i="1"/>
  <c r="Q3" i="1"/>
  <c r="O3" i="1"/>
  <c r="J17" i="1" l="1"/>
  <c r="J15" i="1"/>
  <c r="O14" i="1"/>
  <c r="G18" i="1"/>
  <c r="J16" i="1"/>
  <c r="O13" i="1"/>
  <c r="P7" i="1" s="1"/>
  <c r="G15" i="1"/>
  <c r="P6" i="1" l="1"/>
  <c r="P12" i="1"/>
  <c r="P13" i="1"/>
  <c r="P11" i="1"/>
  <c r="P9" i="1"/>
  <c r="P5" i="1"/>
  <c r="P10" i="1"/>
  <c r="P4" i="1"/>
  <c r="P8" i="1"/>
  <c r="P3" i="1"/>
</calcChain>
</file>

<file path=xl/sharedStrings.xml><?xml version="1.0" encoding="utf-8"?>
<sst xmlns="http://schemas.openxmlformats.org/spreadsheetml/2006/main" count="206" uniqueCount="123">
  <si>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</si>
  <si>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</si>
  <si>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</si>
  <si>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</si>
  <si>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</si>
  <si>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</si>
  <si>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</si>
  <si>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</si>
  <si>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</si>
  <si>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Octomber</t>
  </si>
  <si>
    <t>November</t>
  </si>
  <si>
    <t>December</t>
  </si>
  <si>
    <t>Sum</t>
  </si>
  <si>
    <t>Number</t>
  </si>
  <si>
    <t>Expenses</t>
  </si>
  <si>
    <t>Water</t>
  </si>
  <si>
    <t>Phone</t>
  </si>
  <si>
    <t>Mobile</t>
  </si>
  <si>
    <t>Television</t>
  </si>
  <si>
    <t>Heating</t>
  </si>
  <si>
    <t>Credit</t>
  </si>
  <si>
    <t>Internet</t>
  </si>
  <si>
    <t>Kinder garden</t>
  </si>
  <si>
    <t>Entrance</t>
  </si>
  <si>
    <t>Еlectricity</t>
  </si>
  <si>
    <t>Supplier</t>
  </si>
  <si>
    <t>CEZ</t>
  </si>
  <si>
    <t>Plumbing</t>
  </si>
  <si>
    <t>Vivacom</t>
  </si>
  <si>
    <t>Mtel</t>
  </si>
  <si>
    <t>TV direct</t>
  </si>
  <si>
    <t>District heating</t>
  </si>
  <si>
    <t>Credit Pro</t>
  </si>
  <si>
    <t>Municipality</t>
  </si>
  <si>
    <t>House Council</t>
  </si>
  <si>
    <t>Net 1</t>
  </si>
  <si>
    <t>Check amount</t>
  </si>
  <si>
    <t>Amount</t>
  </si>
  <si>
    <t>Percentage</t>
  </si>
  <si>
    <t>Min</t>
  </si>
  <si>
    <t>Max</t>
  </si>
  <si>
    <t>Average</t>
  </si>
  <si>
    <t>Average bill</t>
  </si>
  <si>
    <t>Months</t>
  </si>
  <si>
    <t>=</t>
  </si>
  <si>
    <t>m</t>
  </si>
  <si>
    <t>cm</t>
  </si>
  <si>
    <t>ha</t>
  </si>
  <si>
    <t>atm</t>
  </si>
  <si>
    <t>Name</t>
  </si>
  <si>
    <t>Peter</t>
  </si>
  <si>
    <t>Ivan</t>
  </si>
  <si>
    <t>Maria</t>
  </si>
  <si>
    <t>George</t>
  </si>
  <si>
    <t>Ani</t>
  </si>
  <si>
    <t>Sales</t>
  </si>
  <si>
    <t>%</t>
  </si>
  <si>
    <t>Week</t>
  </si>
  <si>
    <t>Day of week</t>
  </si>
  <si>
    <t>Poundage</t>
  </si>
  <si>
    <t>By week</t>
  </si>
  <si>
    <t>By day of week</t>
  </si>
  <si>
    <t>Analysis</t>
  </si>
  <si>
    <t>Criteria</t>
  </si>
  <si>
    <t>Over the border</t>
  </si>
  <si>
    <t>Below the border</t>
  </si>
  <si>
    <t>Column1</t>
  </si>
  <si>
    <t>Column2</t>
  </si>
  <si>
    <t>Dates</t>
  </si>
  <si>
    <t>Code</t>
  </si>
  <si>
    <t>Type</t>
  </si>
  <si>
    <t>Size</t>
  </si>
  <si>
    <t>Destination</t>
  </si>
  <si>
    <t>Expense</t>
  </si>
  <si>
    <t>Potential Discount</t>
  </si>
  <si>
    <t>Average Box Cost</t>
  </si>
  <si>
    <t>Box</t>
  </si>
  <si>
    <t>Small</t>
  </si>
  <si>
    <t>Domestic</t>
  </si>
  <si>
    <t>Medium</t>
  </si>
  <si>
    <t>Large</t>
  </si>
  <si>
    <t>International Envelope Cost</t>
  </si>
  <si>
    <t>International</t>
  </si>
  <si>
    <t>Envelope</t>
  </si>
  <si>
    <t>CustomerID</t>
  </si>
  <si>
    <t>CustomerName</t>
  </si>
  <si>
    <t>State</t>
  </si>
  <si>
    <t>Total</t>
  </si>
  <si>
    <t>CID1001</t>
  </si>
  <si>
    <t>Contoso</t>
  </si>
  <si>
    <t>WA</t>
  </si>
  <si>
    <t>CID1002</t>
  </si>
  <si>
    <t>Fabrikam</t>
  </si>
  <si>
    <t>CID1003</t>
  </si>
  <si>
    <t>Ntrader</t>
  </si>
  <si>
    <t>OR</t>
  </si>
  <si>
    <t>CID1004</t>
  </si>
  <si>
    <t>Adventure Works</t>
  </si>
  <si>
    <t>AverageIfs=</t>
  </si>
  <si>
    <t>Sumifs=</t>
  </si>
  <si>
    <t xml:space="preserve"> € 118,476.00 </t>
  </si>
  <si>
    <t>Border</t>
  </si>
  <si>
    <t>over the border</t>
  </si>
  <si>
    <t>below the border</t>
  </si>
  <si>
    <t>Value</t>
  </si>
  <si>
    <t>feet</t>
  </si>
  <si>
    <t>inches</t>
  </si>
  <si>
    <t>acres</t>
  </si>
  <si>
    <t>pascal</t>
  </si>
  <si>
    <t>Unit</t>
  </si>
  <si>
    <t>Task how many meters are 155 feet</t>
  </si>
  <si>
    <t>CONVERT</t>
  </si>
  <si>
    <t>Monday</t>
  </si>
  <si>
    <t>Tuesday</t>
  </si>
  <si>
    <t>Wednesday</t>
  </si>
  <si>
    <t>Thursday</t>
  </si>
  <si>
    <t>Friday</t>
  </si>
  <si>
    <t>Saturday</t>
  </si>
  <si>
    <t>Sunday</t>
  </si>
  <si>
    <t>border</t>
  </si>
  <si>
    <t>Discount rate</t>
  </si>
  <si>
    <t>Cash flows</t>
  </si>
  <si>
    <t>XNPV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</si>
</sst>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#,##0_ ;\-#,##0\ "/>
    <numFmt numFmtId="165" formatCode="dd\.mm\.yyyy\ &quot;г.&quot;;@"/>
    <numFmt numFmtId="166" formatCode="_([$€-2]\ * #,##0.00_);_([$€-2]\ * \(#,##0.00\);_([$€-2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theme="0"/>
      </patternFill>
    </fill>
    <fill>
      <patternFill patternType="gray0625"/>
    </fill>
    <fill>
      <patternFill patternType="gray0625">
        <bgColor theme="4" tint="0.79995117038483843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darkDown">
        <fgColor theme="0" tint="-4.9989318521683403E-2"/>
        <bgColor indexed="65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4" fontId="0" fillId="0" borderId="10" xfId="1" applyFont="1" applyBorder="1"/>
    <xf numFmtId="44" fontId="0" fillId="0" borderId="11" xfId="1" applyFont="1" applyBorder="1"/>
    <xf numFmtId="44" fontId="2" fillId="0" borderId="12" xfId="1" applyFont="1" applyBorder="1"/>
    <xf numFmtId="44" fontId="0" fillId="0" borderId="15" xfId="1" applyFont="1" applyBorder="1"/>
    <xf numFmtId="44" fontId="0" fillId="0" borderId="16" xfId="1" applyFont="1" applyBorder="1"/>
    <xf numFmtId="44" fontId="2" fillId="0" borderId="17" xfId="1" applyFont="1" applyBorder="1"/>
    <xf numFmtId="44" fontId="0" fillId="0" borderId="20" xfId="1" applyFont="1" applyBorder="1"/>
    <xf numFmtId="44" fontId="0" fillId="0" borderId="21" xfId="1" applyFont="1" applyBorder="1"/>
    <xf numFmtId="44" fontId="2" fillId="0" borderId="22" xfId="1" applyFont="1" applyBorder="1"/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5" fontId="0" fillId="0" borderId="26" xfId="0" applyNumberFormat="1" applyBorder="1"/>
    <xf numFmtId="166" fontId="0" fillId="0" borderId="0" xfId="0" applyNumberFormat="1" applyBorder="1"/>
    <xf numFmtId="9" fontId="0" fillId="0" borderId="0" xfId="0" applyNumberFormat="1" applyBorder="1"/>
    <xf numFmtId="165" fontId="0" fillId="0" borderId="28" xfId="0" applyNumberFormat="1" applyBorder="1"/>
    <xf numFmtId="0" fontId="2" fillId="3" borderId="23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28" xfId="0" applyFill="1" applyBorder="1"/>
    <xf numFmtId="166" fontId="0" fillId="3" borderId="30" xfId="0" applyNumberFormat="1" applyFill="1" applyBorder="1"/>
    <xf numFmtId="0" fontId="0" fillId="3" borderId="24" xfId="0" applyFill="1" applyBorder="1"/>
    <xf numFmtId="0" fontId="0" fillId="3" borderId="0" xfId="0" applyFill="1" applyBorder="1"/>
    <xf numFmtId="0" fontId="2" fillId="3" borderId="23" xfId="0" applyFont="1" applyFill="1" applyBorder="1"/>
    <xf numFmtId="166" fontId="0" fillId="3" borderId="27" xfId="0" applyNumberFormat="1" applyFill="1" applyBorder="1"/>
    <xf numFmtId="0" fontId="0" fillId="3" borderId="29" xfId="0" applyFill="1" applyBorder="1"/>
    <xf numFmtId="0" fontId="2" fillId="4" borderId="23" xfId="0" applyFont="1" applyFill="1" applyBorder="1"/>
    <xf numFmtId="0" fontId="0" fillId="4" borderId="25" xfId="0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0" fillId="4" borderId="26" xfId="0" applyFill="1" applyBorder="1"/>
    <xf numFmtId="166" fontId="0" fillId="4" borderId="27" xfId="0" applyNumberFormat="1" applyFill="1" applyBorder="1"/>
    <xf numFmtId="0" fontId="0" fillId="4" borderId="28" xfId="0" applyFill="1" applyBorder="1"/>
    <xf numFmtId="166" fontId="0" fillId="4" borderId="30" xfId="0" applyNumberFormat="1" applyFill="1" applyBorder="1"/>
    <xf numFmtId="0" fontId="0" fillId="5" borderId="0" xfId="0" applyFill="1"/>
    <xf numFmtId="0" fontId="0" fillId="6" borderId="0" xfId="0" applyFill="1"/>
    <xf numFmtId="9" fontId="0" fillId="3" borderId="0" xfId="0" applyNumberFormat="1" applyFill="1" applyBorder="1" applyAlignment="1">
      <alignment horizontal="left"/>
    </xf>
    <xf numFmtId="166" fontId="0" fillId="3" borderId="29" xfId="0" applyNumberFormat="1" applyFill="1" applyBorder="1" applyAlignment="1">
      <alignment horizontal="left"/>
    </xf>
    <xf numFmtId="0" fontId="2" fillId="2" borderId="8" xfId="0" applyFont="1" applyFill="1" applyBorder="1"/>
    <xf numFmtId="0" fontId="2" fillId="2" borderId="13" xfId="0" applyFont="1" applyFill="1" applyBorder="1"/>
    <xf numFmtId="0" fontId="2" fillId="2" borderId="18" xfId="0" applyFont="1" applyFill="1" applyBorder="1"/>
    <xf numFmtId="49" fontId="2" fillId="2" borderId="1" xfId="0" applyNumberFormat="1" applyFont="1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9" xfId="0" applyFill="1" applyBorder="1"/>
    <xf numFmtId="0" fontId="2" fillId="2" borderId="2" xfId="0" applyFont="1" applyFill="1" applyBorder="1"/>
    <xf numFmtId="44" fontId="2" fillId="2" borderId="3" xfId="1" applyFont="1" applyFill="1" applyBorder="1"/>
    <xf numFmtId="44" fontId="2" fillId="2" borderId="4" xfId="1" applyFont="1" applyFill="1" applyBorder="1"/>
    <xf numFmtId="0" fontId="2" fillId="8" borderId="0" xfId="0" applyFont="1" applyFill="1" applyAlignment="1">
      <alignment horizontal="center"/>
    </xf>
    <xf numFmtId="44" fontId="2" fillId="8" borderId="0" xfId="1" applyFont="1" applyFill="1" applyAlignment="1">
      <alignment horizontal="center"/>
    </xf>
    <xf numFmtId="0" fontId="6" fillId="0" borderId="0" xfId="0" applyFont="1"/>
    <xf numFmtId="0" fontId="0" fillId="9" borderId="10" xfId="0" applyFill="1" applyBorder="1"/>
    <xf numFmtId="166" fontId="0" fillId="0" borderId="0" xfId="1" applyNumberFormat="1" applyFont="1"/>
    <xf numFmtId="166" fontId="0" fillId="9" borderId="32" xfId="1" applyNumberFormat="1" applyFont="1" applyFill="1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2" fillId="0" borderId="26" xfId="0" applyFont="1" applyBorder="1" applyAlignment="1"/>
    <xf numFmtId="0" fontId="2" fillId="0" borderId="27" xfId="0" applyFont="1" applyBorder="1" applyAlignment="1"/>
    <xf numFmtId="0" fontId="0" fillId="0" borderId="26" xfId="0" applyBorder="1" applyAlignment="1"/>
    <xf numFmtId="166" fontId="0" fillId="0" borderId="27" xfId="0" applyNumberFormat="1" applyBorder="1" applyAlignment="1"/>
    <xf numFmtId="0" fontId="0" fillId="0" borderId="29" xfId="0" applyBorder="1"/>
    <xf numFmtId="0" fontId="0" fillId="10" borderId="0" xfId="0" applyFill="1"/>
    <xf numFmtId="0" fontId="0" fillId="11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 applyAlignment="1"/>
    <xf numFmtId="0" fontId="0" fillId="12" borderId="26" xfId="0" applyFill="1" applyBorder="1" applyAlignment="1"/>
    <xf numFmtId="166" fontId="0" fillId="12" borderId="27" xfId="0" applyNumberFormat="1" applyFill="1" applyBorder="1" applyAlignment="1"/>
    <xf numFmtId="0" fontId="0" fillId="12" borderId="28" xfId="0" applyFill="1" applyBorder="1" applyAlignment="1"/>
    <xf numFmtId="166" fontId="0" fillId="12" borderId="30" xfId="0" applyNumberFormat="1" applyFill="1" applyBorder="1" applyAlignment="1"/>
    <xf numFmtId="0" fontId="0" fillId="12" borderId="0" xfId="0" applyFill="1" applyBorder="1"/>
    <xf numFmtId="9" fontId="0" fillId="12" borderId="0" xfId="0" applyNumberFormat="1" applyFill="1" applyBorder="1"/>
    <xf numFmtId="166" fontId="0" fillId="13" borderId="0" xfId="0" applyNumberFormat="1" applyFill="1" applyBorder="1"/>
    <xf numFmtId="9" fontId="0" fillId="13" borderId="0" xfId="0" applyNumberFormat="1" applyFill="1" applyBorder="1"/>
    <xf numFmtId="0" fontId="2" fillId="13" borderId="0" xfId="0" applyFont="1" applyFill="1" applyBorder="1" applyAlignment="1">
      <alignment horizontal="center"/>
    </xf>
    <xf numFmtId="0" fontId="2" fillId="13" borderId="23" xfId="0" applyFont="1" applyFill="1" applyBorder="1" applyAlignment="1"/>
    <xf numFmtId="0" fontId="0" fillId="13" borderId="25" xfId="0" applyFill="1" applyBorder="1" applyAlignment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166" fontId="0" fillId="0" borderId="27" xfId="0" applyNumberFormat="1" applyBorder="1"/>
    <xf numFmtId="0" fontId="2" fillId="0" borderId="26" xfId="0" applyFont="1" applyBorder="1"/>
    <xf numFmtId="0" fontId="2" fillId="0" borderId="28" xfId="0" applyFont="1" applyBorder="1"/>
    <xf numFmtId="0" fontId="2" fillId="2" borderId="6" xfId="0" applyFont="1" applyFill="1" applyBorder="1"/>
    <xf numFmtId="0" fontId="2" fillId="2" borderId="5" xfId="0" applyFont="1" applyFill="1" applyBorder="1"/>
    <xf numFmtId="44" fontId="2" fillId="2" borderId="35" xfId="1" applyFont="1" applyFill="1" applyBorder="1"/>
    <xf numFmtId="44" fontId="2" fillId="2" borderId="36" xfId="1" applyFont="1" applyFill="1" applyBorder="1"/>
    <xf numFmtId="44" fontId="2" fillId="2" borderId="37" xfId="1" applyFont="1" applyFill="1" applyBorder="1"/>
    <xf numFmtId="0" fontId="2" fillId="2" borderId="34" xfId="0" applyFont="1" applyFill="1" applyBorder="1" applyAlignment="1">
      <alignment horizontal="center" vertical="center"/>
    </xf>
    <xf numFmtId="44" fontId="0" fillId="0" borderId="38" xfId="1" applyFont="1" applyBorder="1"/>
    <xf numFmtId="44" fontId="0" fillId="0" borderId="39" xfId="1" applyFont="1" applyBorder="1"/>
    <xf numFmtId="44" fontId="0" fillId="0" borderId="40" xfId="1" applyFont="1" applyBorder="1"/>
    <xf numFmtId="0" fontId="2" fillId="2" borderId="16" xfId="0" applyFont="1" applyFill="1" applyBorder="1" applyAlignment="1">
      <alignment horizontal="center" vertical="center"/>
    </xf>
    <xf numFmtId="0" fontId="4" fillId="14" borderId="16" xfId="0" applyFont="1" applyFill="1" applyBorder="1"/>
    <xf numFmtId="0" fontId="5" fillId="14" borderId="16" xfId="0" applyFont="1" applyFill="1" applyBorder="1"/>
    <xf numFmtId="0" fontId="5" fillId="15" borderId="16" xfId="0" applyFont="1" applyFill="1" applyBorder="1"/>
    <xf numFmtId="0" fontId="5" fillId="15" borderId="16" xfId="0" applyFont="1" applyFill="1" applyBorder="1" applyAlignment="1">
      <alignment horizontal="center"/>
    </xf>
    <xf numFmtId="0" fontId="0" fillId="15" borderId="33" xfId="0" applyFill="1" applyBorder="1"/>
    <xf numFmtId="0" fontId="0" fillId="15" borderId="34" xfId="0" applyFill="1" applyBorder="1"/>
    <xf numFmtId="0" fontId="0" fillId="15" borderId="7" xfId="0" applyFill="1" applyBorder="1"/>
    <xf numFmtId="0" fontId="5" fillId="10" borderId="0" xfId="0" applyFont="1" applyFill="1"/>
    <xf numFmtId="0" fontId="2" fillId="15" borderId="0" xfId="0" applyFont="1" applyFill="1" applyAlignment="1">
      <alignment vertical="center"/>
    </xf>
    <xf numFmtId="44" fontId="0" fillId="5" borderId="0" xfId="1" applyFont="1" applyFill="1"/>
    <xf numFmtId="0" fontId="0" fillId="16" borderId="0" xfId="0" applyFill="1"/>
    <xf numFmtId="166" fontId="7" fillId="0" borderId="0" xfId="0" applyNumberFormat="1" applyFont="1" applyBorder="1"/>
    <xf numFmtId="9" fontId="7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6" fontId="7" fillId="0" borderId="29" xfId="0" applyNumberFormat="1" applyFont="1" applyBorder="1"/>
    <xf numFmtId="9" fontId="7" fillId="0" borderId="29" xfId="0" applyNumberFormat="1" applyFont="1" applyBorder="1"/>
    <xf numFmtId="1" fontId="7" fillId="0" borderId="29" xfId="0" applyNumberFormat="1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0" fontId="2" fillId="0" borderId="0" xfId="0" applyFont="1" applyBorder="1"/>
    <xf numFmtId="0" fontId="2" fillId="13" borderId="0" xfId="0" applyFont="1" applyFill="1" applyBorder="1"/>
    <xf numFmtId="166" fontId="2" fillId="0" borderId="30" xfId="0" applyNumberFormat="1" applyFont="1" applyBorder="1"/>
    <xf numFmtId="44" fontId="2" fillId="0" borderId="41" xfId="1" applyFont="1" applyBorder="1"/>
    <xf numFmtId="0" fontId="2" fillId="0" borderId="14" xfId="0" applyFont="1" applyBorder="1"/>
    <xf numFmtId="44" fontId="2" fillId="0" borderId="42" xfId="1" applyFont="1" applyBorder="1"/>
    <xf numFmtId="0" fontId="2" fillId="16" borderId="0" xfId="0" applyFont="1" applyFill="1"/>
    <xf numFmtId="0" fontId="2" fillId="0" borderId="16" xfId="0" applyFont="1" applyBorder="1"/>
    <xf numFmtId="44" fontId="2" fillId="0" borderId="16" xfId="1" applyFont="1" applyBorder="1"/>
    <xf numFmtId="0" fontId="2" fillId="2" borderId="16" xfId="0" applyFont="1" applyFill="1" applyBorder="1"/>
    <xf numFmtId="0" fontId="2" fillId="2" borderId="16" xfId="0" applyFont="1" applyFill="1" applyBorder="1" applyAlignment="1">
      <alignment horizontal="right"/>
    </xf>
    <xf numFmtId="44" fontId="2" fillId="2" borderId="16" xfId="1" applyFont="1" applyFill="1" applyBorder="1"/>
    <xf numFmtId="44" fontId="2" fillId="2" borderId="7" xfId="1" applyFont="1" applyFill="1" applyBorder="1"/>
    <xf numFmtId="0" fontId="2" fillId="2" borderId="33" xfId="0" applyFont="1" applyFill="1" applyBorder="1" applyAlignment="1"/>
    <xf numFmtId="0" fontId="0" fillId="0" borderId="34" xfId="0" applyBorder="1" applyAlignment="1"/>
    <xf numFmtId="44" fontId="2" fillId="2" borderId="31" xfId="1" applyFont="1" applyFill="1" applyBorder="1" applyAlignment="1"/>
    <xf numFmtId="0" fontId="0" fillId="2" borderId="20" xfId="0" applyFill="1" applyBorder="1" applyAlignment="1"/>
    <xf numFmtId="10" fontId="6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44" fontId="2" fillId="2" borderId="37" xfId="1" applyFont="1" applyFill="1" applyBorder="1" applyAlignment="1"/>
    <xf numFmtId="0" fontId="0" fillId="9" borderId="43" xfId="0" applyFill="1" applyBorder="1"/>
  </cellXfs>
  <cellStyles count="3">
    <cellStyle name="Currency" xfId="1" builtinId="4"/>
    <cellStyle name="Normal" xfId="0" builtinId="0"/>
    <cellStyle name="Normal 2" xfId="2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ill>
        <patternFill>
          <bgColor theme="6" tint="0.79998168889431442"/>
        </patternFill>
      </fill>
    </dxf>
    <dxf>
      <fill>
        <patternFill patternType="gray125">
          <fgColor theme="7" tint="0.79998168889431442"/>
        </patternFill>
      </fill>
    </dxf>
    <dxf>
      <fill>
        <patternFill patternType="gray125">
          <fgColor theme="7" tint="0.79998168889431442"/>
        </patternFill>
      </fill>
    </dxf>
    <dxf>
      <fill>
        <patternFill patternType="gray125">
          <fgColor theme="7" tint="0.79998168889431442"/>
        </patternFill>
      </fill>
    </dxf>
    <dxf>
      <fill>
        <patternFill patternType="lightGray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#,##0_ ;\-#,##0\ 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</dxf>
    <dxf>
      <numFmt numFmtId="13" formatCode="0%"/>
    </dxf>
    <dxf>
      <numFmt numFmtId="166" formatCode="_([$€-2]\ * #,##0.00_);_([$€-2]\ * \(#,##0.00\);_([$€-2]\ * &quot;-&quot;??_);_(@_)"/>
    </dxf>
    <dxf>
      <numFmt numFmtId="165" formatCode="dd\.mm\.yyyy\ &quot;г.&quot;;@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6" formatCode="_([$€-2]\ * #,##0.00_);_([$€-2]\ * \(#,##0.00\);_([$€-2]\ * &quot;-&quot;??_);_(@_)"/>
    </dxf>
    <dxf>
      <numFmt numFmtId="13" formatCode="0%"/>
    </dxf>
    <dxf>
      <numFmt numFmtId="166" formatCode="_([$€-2]\ * #,##0.00_);_([$€-2]\ * \(#,##0.00\);_([$€-2]\ * &quot;-&quot;??_);_(@_)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numFmt numFmtId="167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[$€-2]\ * #,##0.00_);_([$€-2]\ * \(#,##0.00\);_([$€-2]\ 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le4" displayName="Table4" ref="A2:H14" totalsRowShown="0" headerRowDxfId="28" headerRowCellStyle="Currency">
  <autoFilter ref="A2:H14"/>
  <tableColumns count="8">
    <tableColumn id="1" name="Code"/>
    <tableColumn id="2" name="Type"/>
    <tableColumn id="3" name="Size"/>
    <tableColumn id="4" name="Destination"/>
    <tableColumn id="5" name="Expense" dataDxfId="27" dataCellStyle="Currency"/>
    <tableColumn id="6" name="Potential Discount" dataDxfId="26">
      <calculatedColumnFormula>IF(E3&gt;=35000, "Request discount", "No discount available")</calculatedColumnFormula>
    </tableColumn>
    <tableColumn id="7" name="Discount rate" dataDxfId="6"/>
    <tableColumn id="8" name="Cash flows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J9:M14" totalsRowShown="0" headerRowDxfId="25">
  <autoFilter ref="J9:M14"/>
  <tableColumns count="4">
    <tableColumn id="1" name="CID1001"/>
    <tableColumn id="2" name="Contoso"/>
    <tableColumn id="3" name="WA"/>
    <tableColumn id="4" name=" € 118,476.00 " dataDxfId="2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2:E12" totalsRowShown="0" headerRowDxfId="23" tableBorderDxfId="22">
  <autoFilter ref="B2:E12"/>
  <tableColumns count="4">
    <tableColumn id="1" name="Name" dataDxfId="21"/>
    <tableColumn id="2" name="Sales" dataDxfId="20"/>
    <tableColumn id="3" name="%" dataDxfId="19">
      <calculatedColumnFormula>IF(C3&gt;$H$7,$H$4,$H$5)</calculatedColumnFormula>
    </tableColumn>
    <tableColumn id="4" name="Poundage" dataDxfId="18">
      <calculatedColumnFormula>C3*D3</calculatedColumnFormula>
    </tableColumn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G3:H7" totalsRowShown="0" tableBorderDxfId="17">
  <autoFilter ref="G3:H7"/>
  <tableColumns count="2">
    <tableColumn id="1" name="Column1"/>
    <tableColumn id="2" name="Column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G10:H15" totalsRowShown="0" headerRowDxfId="16">
  <autoFilter ref="G10:H15"/>
  <tableColumns count="2">
    <tableColumn id="1" name="Name" dataDxfId="15"/>
    <tableColumn id="2" name="Sum" dataDxfId="14">
      <calculatedColumnFormula>SUMIF(B:B,G11,E:E)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G22" totalsRowShown="0" headerRowDxfId="13">
  <autoFilter ref="A1:G22"/>
  <tableColumns count="7">
    <tableColumn id="1" name="Name"/>
    <tableColumn id="2" name="Dates" dataDxfId="12"/>
    <tableColumn id="3" name="Sales" dataDxfId="11"/>
    <tableColumn id="4" name="%" dataDxfId="10">
      <calculatedColumnFormula>IF(C2&gt;=$J$5,$J$2,$J$3)</calculatedColumnFormula>
    </tableColumn>
    <tableColumn id="5" name="Poundage" dataDxfId="9">
      <calculatedColumnFormula>C2*D2</calculatedColumnFormula>
    </tableColumn>
    <tableColumn id="6" name="Day of week" dataDxfId="8">
      <calculatedColumnFormula>WEEKDAY(B2,2)</calculatedColumnFormula>
    </tableColumn>
    <tableColumn id="7" name="Week" dataDxfId="7">
      <calculatedColumnFormula>WEEKNUM(B2,2)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19"/>
  <sheetViews>
    <sheetView workbookViewId="0">
      <pane xSplit="1" topLeftCell="B1" activePane="topRight" state="frozen"/>
      <selection pane="topRight" activeCell="S16" sqref="S16"/>
    </sheetView>
  </sheetViews>
  <sheetFormatPr defaultRowHeight="14.4" x14ac:dyDescent="0.3"/>
  <cols>
    <col min="3" max="3" width="9.88671875" customWidth="1"/>
    <col min="4" max="4" width="9.109375" customWidth="1"/>
    <col min="5" max="5" width="8.77734375" customWidth="1"/>
    <col min="6" max="6" width="9.5546875" customWidth="1"/>
    <col min="7" max="7" width="10.33203125" customWidth="1"/>
    <col min="8" max="8" width="9.21875" customWidth="1"/>
    <col min="9" max="9" width="10.33203125" customWidth="1"/>
    <col min="10" max="10" width="9.77734375" customWidth="1"/>
    <col min="11" max="11" width="9.33203125" customWidth="1"/>
    <col min="12" max="12" width="9.44140625" customWidth="1"/>
    <col min="13" max="13" width="9" customWidth="1"/>
    <col min="14" max="14" width="10" customWidth="1"/>
    <col min="15" max="15" width="11.109375" customWidth="1"/>
    <col min="16" max="16" width="10.21875" customWidth="1"/>
  </cols>
  <sheetData>
    <row r="1" spans="1:20" ht="15" thickBot="1" x14ac:dyDescent="0.3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ht="15" thickBot="1" x14ac:dyDescent="0.35">
      <c r="A2" s="1" t="s">
        <v>14</v>
      </c>
      <c r="B2" s="2" t="s">
        <v>25</v>
      </c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5" t="s">
        <v>11</v>
      </c>
      <c r="O2" s="6" t="s">
        <v>37</v>
      </c>
      <c r="P2" s="101" t="s">
        <v>38</v>
      </c>
      <c r="Q2" s="105" t="s">
        <v>39</v>
      </c>
      <c r="R2" s="105" t="s">
        <v>40</v>
      </c>
      <c r="S2" s="105" t="s">
        <v>41</v>
      </c>
      <c r="T2" s="116"/>
    </row>
    <row r="3" spans="1:20" x14ac:dyDescent="0.3">
      <c r="A3" s="51" t="s">
        <v>24</v>
      </c>
      <c r="B3" s="55" t="s">
        <v>26</v>
      </c>
      <c r="C3" s="7">
        <v>76.45</v>
      </c>
      <c r="D3" s="8">
        <v>56.98</v>
      </c>
      <c r="E3" s="8">
        <v>54.12</v>
      </c>
      <c r="F3" s="8">
        <v>48.82</v>
      </c>
      <c r="G3" s="8">
        <v>42.23</v>
      </c>
      <c r="H3" s="8">
        <v>56</v>
      </c>
      <c r="I3" s="8">
        <v>56</v>
      </c>
      <c r="J3" s="8">
        <v>56</v>
      </c>
      <c r="K3" s="8">
        <v>56</v>
      </c>
      <c r="L3" s="8">
        <v>56</v>
      </c>
      <c r="M3" s="8">
        <v>56</v>
      </c>
      <c r="N3" s="8">
        <v>56</v>
      </c>
      <c r="O3" s="9">
        <f t="shared" ref="O3:O13" si="0">SUM(C3:N3)</f>
        <v>670.6</v>
      </c>
      <c r="P3" s="102">
        <f>O3/$O$13</f>
        <v>0.13402109243378385</v>
      </c>
      <c r="Q3" s="11">
        <f t="shared" ref="Q3:Q12" si="1">MIN(C3:N3)</f>
        <v>42.23</v>
      </c>
      <c r="R3" s="11">
        <f t="shared" ref="R3:R12" si="2">MAX(C3:N3)</f>
        <v>76.45</v>
      </c>
      <c r="S3" s="11">
        <f t="shared" ref="S3:S12" si="3">AVERAGE(C3:N3)</f>
        <v>55.883333333333333</v>
      </c>
      <c r="T3" s="116"/>
    </row>
    <row r="4" spans="1:20" x14ac:dyDescent="0.3">
      <c r="A4" s="52" t="s">
        <v>15</v>
      </c>
      <c r="B4" s="56" t="s">
        <v>27</v>
      </c>
      <c r="C4" s="10">
        <v>14.65</v>
      </c>
      <c r="D4" s="11">
        <v>12.43</v>
      </c>
      <c r="E4" s="11">
        <v>15.38</v>
      </c>
      <c r="F4" s="11">
        <v>6.98</v>
      </c>
      <c r="G4" s="11">
        <v>12</v>
      </c>
      <c r="H4" s="11">
        <v>26</v>
      </c>
      <c r="I4" s="11">
        <v>14</v>
      </c>
      <c r="J4" s="11">
        <v>14</v>
      </c>
      <c r="K4" s="11">
        <v>14</v>
      </c>
      <c r="L4" s="11">
        <v>14</v>
      </c>
      <c r="M4" s="11">
        <v>14</v>
      </c>
      <c r="N4" s="11">
        <v>14</v>
      </c>
      <c r="O4" s="12">
        <f t="shared" si="0"/>
        <v>171.44</v>
      </c>
      <c r="P4" s="103">
        <f t="shared" ref="P4:P13" si="4">O4/$O$13</f>
        <v>3.426271411698166E-2</v>
      </c>
      <c r="Q4" s="11">
        <f t="shared" si="1"/>
        <v>6.98</v>
      </c>
      <c r="R4" s="11">
        <f t="shared" si="2"/>
        <v>26</v>
      </c>
      <c r="S4" s="11">
        <f t="shared" si="3"/>
        <v>14.286666666666667</v>
      </c>
      <c r="T4" s="116"/>
    </row>
    <row r="5" spans="1:20" x14ac:dyDescent="0.3">
      <c r="A5" s="52" t="s">
        <v>16</v>
      </c>
      <c r="B5" s="56" t="s">
        <v>28</v>
      </c>
      <c r="C5" s="10">
        <v>12.8</v>
      </c>
      <c r="D5" s="11">
        <v>12.8</v>
      </c>
      <c r="E5" s="11">
        <v>12.8</v>
      </c>
      <c r="F5" s="11">
        <v>12.8</v>
      </c>
      <c r="G5" s="11">
        <v>12.8</v>
      </c>
      <c r="H5" s="11">
        <v>11</v>
      </c>
      <c r="I5" s="11">
        <v>11</v>
      </c>
      <c r="J5" s="11">
        <v>11</v>
      </c>
      <c r="K5" s="11">
        <v>11</v>
      </c>
      <c r="L5" s="11">
        <v>11</v>
      </c>
      <c r="M5" s="11">
        <v>11</v>
      </c>
      <c r="N5" s="11">
        <v>11</v>
      </c>
      <c r="O5" s="12">
        <f t="shared" si="0"/>
        <v>141</v>
      </c>
      <c r="P5" s="103">
        <f t="shared" si="4"/>
        <v>2.8179203747634243E-2</v>
      </c>
      <c r="Q5" s="11">
        <f t="shared" si="1"/>
        <v>11</v>
      </c>
      <c r="R5" s="11">
        <f t="shared" si="2"/>
        <v>12.8</v>
      </c>
      <c r="S5" s="11">
        <f t="shared" si="3"/>
        <v>11.75</v>
      </c>
      <c r="T5" s="116"/>
    </row>
    <row r="6" spans="1:20" x14ac:dyDescent="0.3">
      <c r="A6" s="52" t="s">
        <v>17</v>
      </c>
      <c r="B6" s="56" t="s">
        <v>29</v>
      </c>
      <c r="C6" s="10">
        <v>46.12</v>
      </c>
      <c r="D6" s="11">
        <v>54.23</v>
      </c>
      <c r="E6" s="11">
        <v>65.23</v>
      </c>
      <c r="F6" s="11">
        <v>78.45</v>
      </c>
      <c r="G6" s="11">
        <v>60.25</v>
      </c>
      <c r="H6" s="11">
        <v>45</v>
      </c>
      <c r="I6" s="11">
        <v>45</v>
      </c>
      <c r="J6" s="11">
        <v>45</v>
      </c>
      <c r="K6" s="11">
        <v>45</v>
      </c>
      <c r="L6" s="11">
        <v>45</v>
      </c>
      <c r="M6" s="11">
        <v>45</v>
      </c>
      <c r="N6" s="11">
        <v>45</v>
      </c>
      <c r="O6" s="12">
        <f t="shared" si="0"/>
        <v>619.28</v>
      </c>
      <c r="P6" s="103">
        <f t="shared" si="4"/>
        <v>0.12376466167968038</v>
      </c>
      <c r="Q6" s="11">
        <f t="shared" si="1"/>
        <v>45</v>
      </c>
      <c r="R6" s="11">
        <f t="shared" si="2"/>
        <v>78.45</v>
      </c>
      <c r="S6" s="11">
        <f t="shared" si="3"/>
        <v>51.606666666666662</v>
      </c>
      <c r="T6" s="116"/>
    </row>
    <row r="7" spans="1:20" x14ac:dyDescent="0.3">
      <c r="A7" s="52" t="s">
        <v>18</v>
      </c>
      <c r="B7" s="56" t="s">
        <v>30</v>
      </c>
      <c r="C7" s="10">
        <v>20</v>
      </c>
      <c r="D7" s="11">
        <v>20</v>
      </c>
      <c r="E7" s="11">
        <v>20</v>
      </c>
      <c r="F7" s="11">
        <v>20</v>
      </c>
      <c r="G7" s="11">
        <v>20</v>
      </c>
      <c r="H7" s="11">
        <v>19</v>
      </c>
      <c r="I7" s="11">
        <v>19</v>
      </c>
      <c r="J7" s="11">
        <v>19</v>
      </c>
      <c r="K7" s="11">
        <v>19</v>
      </c>
      <c r="L7" s="11">
        <v>19</v>
      </c>
      <c r="M7" s="11">
        <v>19</v>
      </c>
      <c r="N7" s="11">
        <v>19</v>
      </c>
      <c r="O7" s="12">
        <f t="shared" si="0"/>
        <v>233</v>
      </c>
      <c r="P7" s="103">
        <f t="shared" si="4"/>
        <v>4.6565634561693464E-2</v>
      </c>
      <c r="Q7" s="11">
        <f t="shared" si="1"/>
        <v>19</v>
      </c>
      <c r="R7" s="11">
        <f t="shared" si="2"/>
        <v>20</v>
      </c>
      <c r="S7" s="11">
        <f t="shared" si="3"/>
        <v>19.416666666666668</v>
      </c>
      <c r="T7" s="116"/>
    </row>
    <row r="8" spans="1:20" x14ac:dyDescent="0.3">
      <c r="A8" s="52" t="s">
        <v>19</v>
      </c>
      <c r="B8" s="56" t="s">
        <v>31</v>
      </c>
      <c r="C8" s="10">
        <v>98.56</v>
      </c>
      <c r="D8" s="11">
        <v>90.56</v>
      </c>
      <c r="E8" s="11">
        <v>80.650000000000006</v>
      </c>
      <c r="F8" s="11">
        <v>78.45</v>
      </c>
      <c r="G8" s="11">
        <v>65.650000000000006</v>
      </c>
      <c r="H8" s="11">
        <v>66</v>
      </c>
      <c r="I8" s="11">
        <v>66</v>
      </c>
      <c r="J8" s="11">
        <v>66</v>
      </c>
      <c r="K8" s="11">
        <v>66</v>
      </c>
      <c r="L8" s="11">
        <v>66</v>
      </c>
      <c r="M8" s="11">
        <v>66</v>
      </c>
      <c r="N8" s="11">
        <v>66</v>
      </c>
      <c r="O8" s="12">
        <f t="shared" si="0"/>
        <v>875.87</v>
      </c>
      <c r="P8" s="103">
        <f t="shared" si="4"/>
        <v>0.17504481692510926</v>
      </c>
      <c r="Q8" s="11">
        <f t="shared" si="1"/>
        <v>65.650000000000006</v>
      </c>
      <c r="R8" s="11">
        <f t="shared" si="2"/>
        <v>98.56</v>
      </c>
      <c r="S8" s="11">
        <f t="shared" si="3"/>
        <v>72.989166666666662</v>
      </c>
      <c r="T8" s="116"/>
    </row>
    <row r="9" spans="1:20" x14ac:dyDescent="0.3">
      <c r="A9" s="52" t="s">
        <v>20</v>
      </c>
      <c r="B9" s="56" t="s">
        <v>32</v>
      </c>
      <c r="C9" s="10">
        <v>75</v>
      </c>
      <c r="D9" s="11">
        <v>75</v>
      </c>
      <c r="E9" s="11">
        <v>75</v>
      </c>
      <c r="F9" s="11">
        <v>75</v>
      </c>
      <c r="G9" s="11">
        <v>75</v>
      </c>
      <c r="H9" s="11">
        <v>70</v>
      </c>
      <c r="I9" s="11">
        <v>70</v>
      </c>
      <c r="J9" s="11">
        <v>70</v>
      </c>
      <c r="K9" s="11">
        <v>70</v>
      </c>
      <c r="L9" s="11">
        <v>70</v>
      </c>
      <c r="M9" s="11">
        <v>70</v>
      </c>
      <c r="N9" s="11">
        <v>70</v>
      </c>
      <c r="O9" s="12">
        <f t="shared" si="0"/>
        <v>865</v>
      </c>
      <c r="P9" s="103">
        <f t="shared" si="4"/>
        <v>0.1728724201539264</v>
      </c>
      <c r="Q9" s="11">
        <f t="shared" si="1"/>
        <v>70</v>
      </c>
      <c r="R9" s="11">
        <f t="shared" si="2"/>
        <v>75</v>
      </c>
      <c r="S9" s="11">
        <f t="shared" si="3"/>
        <v>72.083333333333329</v>
      </c>
      <c r="T9" s="116"/>
    </row>
    <row r="10" spans="1:20" x14ac:dyDescent="0.3">
      <c r="A10" s="52" t="s">
        <v>21</v>
      </c>
      <c r="B10" s="56" t="s">
        <v>35</v>
      </c>
      <c r="C10" s="10">
        <v>25</v>
      </c>
      <c r="D10" s="11">
        <v>25</v>
      </c>
      <c r="E10" s="11">
        <v>25</v>
      </c>
      <c r="F10" s="11">
        <v>25</v>
      </c>
      <c r="G10" s="11">
        <v>25</v>
      </c>
      <c r="H10" s="11">
        <v>25</v>
      </c>
      <c r="I10" s="11">
        <v>25</v>
      </c>
      <c r="J10" s="11">
        <v>25</v>
      </c>
      <c r="K10" s="11">
        <v>25</v>
      </c>
      <c r="L10" s="11">
        <v>25</v>
      </c>
      <c r="M10" s="11">
        <v>25</v>
      </c>
      <c r="N10" s="11">
        <v>25</v>
      </c>
      <c r="O10" s="12">
        <f t="shared" si="0"/>
        <v>300</v>
      </c>
      <c r="P10" s="103">
        <f t="shared" si="4"/>
        <v>5.9955752654540943E-2</v>
      </c>
      <c r="Q10" s="11">
        <f t="shared" si="1"/>
        <v>25</v>
      </c>
      <c r="R10" s="11">
        <f t="shared" si="2"/>
        <v>25</v>
      </c>
      <c r="S10" s="11">
        <f t="shared" si="3"/>
        <v>25</v>
      </c>
      <c r="T10" s="116"/>
    </row>
    <row r="11" spans="1:20" x14ac:dyDescent="0.3">
      <c r="A11" s="52" t="s">
        <v>22</v>
      </c>
      <c r="B11" s="56" t="s">
        <v>33</v>
      </c>
      <c r="C11" s="10">
        <v>80</v>
      </c>
      <c r="D11" s="11">
        <v>80</v>
      </c>
      <c r="E11" s="11">
        <v>80</v>
      </c>
      <c r="F11" s="11">
        <v>80</v>
      </c>
      <c r="G11" s="11">
        <v>80</v>
      </c>
      <c r="H11" s="11">
        <v>80</v>
      </c>
      <c r="I11" s="11">
        <v>80</v>
      </c>
      <c r="J11" s="11">
        <v>80</v>
      </c>
      <c r="K11" s="11">
        <v>80</v>
      </c>
      <c r="L11" s="11">
        <v>80</v>
      </c>
      <c r="M11" s="11">
        <v>80</v>
      </c>
      <c r="N11" s="11">
        <v>80</v>
      </c>
      <c r="O11" s="12">
        <f t="shared" si="0"/>
        <v>960</v>
      </c>
      <c r="P11" s="103">
        <f t="shared" si="4"/>
        <v>0.19185840849453101</v>
      </c>
      <c r="Q11" s="11">
        <f t="shared" si="1"/>
        <v>80</v>
      </c>
      <c r="R11" s="11">
        <f t="shared" si="2"/>
        <v>80</v>
      </c>
      <c r="S11" s="11">
        <f t="shared" si="3"/>
        <v>80</v>
      </c>
      <c r="T11" s="116"/>
    </row>
    <row r="12" spans="1:20" ht="15" thickBot="1" x14ac:dyDescent="0.35">
      <c r="A12" s="53" t="s">
        <v>23</v>
      </c>
      <c r="B12" s="57" t="s">
        <v>34</v>
      </c>
      <c r="C12" s="13">
        <v>14</v>
      </c>
      <c r="D12" s="14">
        <v>14</v>
      </c>
      <c r="E12" s="14">
        <v>14</v>
      </c>
      <c r="F12" s="14">
        <v>13.5</v>
      </c>
      <c r="G12" s="14">
        <v>14</v>
      </c>
      <c r="H12" s="14">
        <v>14</v>
      </c>
      <c r="I12" s="14">
        <v>14</v>
      </c>
      <c r="J12" s="14">
        <v>14</v>
      </c>
      <c r="K12" s="14">
        <v>14</v>
      </c>
      <c r="L12" s="14">
        <v>14</v>
      </c>
      <c r="M12" s="14">
        <v>14</v>
      </c>
      <c r="N12" s="14">
        <v>14</v>
      </c>
      <c r="O12" s="15">
        <f t="shared" si="0"/>
        <v>167.5</v>
      </c>
      <c r="P12" s="104">
        <f t="shared" si="4"/>
        <v>3.3475295232118694E-2</v>
      </c>
      <c r="Q12" s="11">
        <f t="shared" si="1"/>
        <v>13.5</v>
      </c>
      <c r="R12" s="11">
        <f t="shared" si="2"/>
        <v>14</v>
      </c>
      <c r="S12" s="11">
        <f t="shared" si="3"/>
        <v>13.958333333333334</v>
      </c>
      <c r="T12" s="116"/>
    </row>
    <row r="13" spans="1:20" ht="22.2" customHeight="1" thickBot="1" x14ac:dyDescent="0.35">
      <c r="A13" s="54" t="s">
        <v>12</v>
      </c>
      <c r="B13" s="58"/>
      <c r="C13" s="59">
        <f>SUM(C3:C12)</f>
        <v>462.58000000000004</v>
      </c>
      <c r="D13" s="60">
        <f>SUM(D3:D12)</f>
        <v>441</v>
      </c>
      <c r="E13" s="60">
        <f>SUM(E3:E12)</f>
        <v>442.18</v>
      </c>
      <c r="F13" s="60">
        <f t="shared" ref="F13:N13" si="5">SUM(F3:F12)</f>
        <v>439</v>
      </c>
      <c r="G13" s="60">
        <f t="shared" si="5"/>
        <v>406.93</v>
      </c>
      <c r="H13" s="60">
        <f t="shared" si="5"/>
        <v>412</v>
      </c>
      <c r="I13" s="60">
        <f t="shared" si="5"/>
        <v>400</v>
      </c>
      <c r="J13" s="60">
        <f t="shared" si="5"/>
        <v>400</v>
      </c>
      <c r="K13" s="60">
        <f t="shared" si="5"/>
        <v>400</v>
      </c>
      <c r="L13" s="60">
        <f t="shared" si="5"/>
        <v>400</v>
      </c>
      <c r="M13" s="98">
        <f t="shared" si="5"/>
        <v>400</v>
      </c>
      <c r="N13" s="99">
        <f t="shared" si="5"/>
        <v>400</v>
      </c>
      <c r="O13" s="100">
        <f t="shared" si="0"/>
        <v>5003.6900000000005</v>
      </c>
      <c r="P13" s="137">
        <f t="shared" si="4"/>
        <v>1</v>
      </c>
      <c r="Q13" s="116"/>
      <c r="R13" s="116"/>
      <c r="S13" s="116"/>
      <c r="T13" s="116"/>
    </row>
    <row r="14" spans="1:20" ht="15" thickBot="1" x14ac:dyDescent="0.3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34"/>
      <c r="N14" s="135" t="s">
        <v>36</v>
      </c>
      <c r="O14" s="136">
        <f>SUM(O3:O12)</f>
        <v>5003.6900000000005</v>
      </c>
      <c r="P14" s="116"/>
      <c r="Q14" s="116"/>
      <c r="R14" s="116"/>
      <c r="S14" s="116"/>
      <c r="T14" s="116"/>
    </row>
    <row r="15" spans="1:20" ht="15" thickBot="1" x14ac:dyDescent="0.35">
      <c r="A15" s="116"/>
      <c r="B15" s="116"/>
      <c r="C15" s="138" t="s">
        <v>12</v>
      </c>
      <c r="D15" s="139"/>
      <c r="E15" s="128">
        <f>Q10</f>
        <v>25</v>
      </c>
      <c r="F15" s="116"/>
      <c r="G15" s="60">
        <f>AVERAGE(C13:N13)</f>
        <v>416.97416666666669</v>
      </c>
      <c r="H15" s="116"/>
      <c r="I15" s="60" t="s">
        <v>13</v>
      </c>
      <c r="J15" s="132">
        <f>COUNT(C13:G13)</f>
        <v>5</v>
      </c>
      <c r="K15" s="116"/>
      <c r="L15" s="116"/>
      <c r="M15" s="116"/>
      <c r="N15" s="116"/>
      <c r="O15" s="116"/>
      <c r="P15" s="116"/>
      <c r="Q15" s="116"/>
      <c r="R15" s="116"/>
      <c r="S15" s="116"/>
      <c r="T15" s="116"/>
    </row>
    <row r="16" spans="1:20" ht="15" thickBot="1" x14ac:dyDescent="0.35">
      <c r="A16" s="116"/>
      <c r="B16" s="116"/>
      <c r="C16" s="138" t="s">
        <v>43</v>
      </c>
      <c r="D16" s="139"/>
      <c r="E16" s="129">
        <f>COUNTIF(E10:P10,"&gt;0")</f>
        <v>12</v>
      </c>
      <c r="F16" s="116"/>
      <c r="G16" s="116"/>
      <c r="H16" s="116"/>
      <c r="I16" s="60" t="s">
        <v>40</v>
      </c>
      <c r="J16" s="133">
        <f>MAX(C13:N14)</f>
        <v>462.58000000000004</v>
      </c>
      <c r="K16" s="116"/>
      <c r="L16" s="116"/>
      <c r="M16" s="116"/>
      <c r="N16" s="116"/>
      <c r="O16" s="116"/>
      <c r="P16" s="116"/>
      <c r="Q16" s="116"/>
      <c r="R16" s="116"/>
      <c r="S16" s="116"/>
      <c r="T16" s="116"/>
    </row>
    <row r="17" spans="1:20" ht="15" thickBot="1" x14ac:dyDescent="0.35">
      <c r="A17" s="116"/>
      <c r="B17" s="116"/>
      <c r="C17" s="96" t="s">
        <v>42</v>
      </c>
      <c r="D17" s="97"/>
      <c r="E17" s="130">
        <f>AVERAGEIF(E10:P10,"&gt;0")</f>
        <v>45.838329646054547</v>
      </c>
      <c r="F17" s="116"/>
      <c r="G17" s="116"/>
      <c r="H17" s="116"/>
      <c r="I17" s="60" t="s">
        <v>39</v>
      </c>
      <c r="J17" s="133">
        <f>MIN(C13:G13)</f>
        <v>406.93</v>
      </c>
      <c r="K17" s="116"/>
      <c r="L17" s="116"/>
      <c r="M17" s="116"/>
      <c r="N17" s="116"/>
      <c r="O17" s="116"/>
      <c r="P17" s="116"/>
      <c r="Q17" s="116"/>
      <c r="R17" s="116"/>
      <c r="S17" s="116"/>
      <c r="T17" s="116"/>
    </row>
    <row r="18" spans="1:20" ht="15" thickBot="1" x14ac:dyDescent="0.35">
      <c r="A18" s="116"/>
      <c r="B18" s="116"/>
      <c r="C18" s="116"/>
      <c r="D18" s="116"/>
      <c r="E18" s="131"/>
      <c r="F18" s="116"/>
      <c r="G18" s="60">
        <f>SUM(C13:N13)</f>
        <v>5003.6900000000005</v>
      </c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</row>
    <row r="19" spans="1:20" x14ac:dyDescent="0.3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</row>
  </sheetData>
  <mergeCells count="2">
    <mergeCell ref="C16:D16"/>
    <mergeCell ref="C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Q17"/>
  <sheetViews>
    <sheetView tabSelected="1" topLeftCell="C1" workbookViewId="0">
      <selection activeCell="F4" sqref="F4"/>
    </sheetView>
  </sheetViews>
  <sheetFormatPr defaultRowHeight="14.4" x14ac:dyDescent="0.3"/>
  <cols>
    <col min="1" max="1" width="9.5546875" bestFit="1" customWidth="1"/>
    <col min="4" max="4" width="12.44140625" customWidth="1"/>
    <col min="5" max="5" width="12.77734375" customWidth="1"/>
    <col min="6" max="6" width="21.33203125" customWidth="1"/>
    <col min="7" max="7" width="14.88671875" customWidth="1"/>
    <col min="8" max="8" width="12.5546875" customWidth="1"/>
    <col min="9" max="9" width="3" customWidth="1"/>
    <col min="10" max="10" width="14.88671875" customWidth="1"/>
    <col min="11" max="11" width="16" customWidth="1"/>
    <col min="13" max="13" width="14" customWidth="1"/>
  </cols>
  <sheetData>
    <row r="1" spans="1:17" ht="15" thickBot="1" x14ac:dyDescent="0.35">
      <c r="A1" s="75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x14ac:dyDescent="0.3">
      <c r="A2" s="61" t="s">
        <v>69</v>
      </c>
      <c r="B2" s="61" t="s">
        <v>70</v>
      </c>
      <c r="C2" s="61" t="s">
        <v>71</v>
      </c>
      <c r="D2" s="61" t="s">
        <v>72</v>
      </c>
      <c r="E2" s="62" t="s">
        <v>73</v>
      </c>
      <c r="F2" s="61" t="s">
        <v>74</v>
      </c>
      <c r="G2" s="62" t="s">
        <v>120</v>
      </c>
      <c r="H2" s="62" t="s">
        <v>121</v>
      </c>
      <c r="I2" s="47"/>
      <c r="J2" s="140" t="s">
        <v>75</v>
      </c>
      <c r="K2" s="141"/>
      <c r="L2" s="47"/>
      <c r="M2" s="145" t="s">
        <v>122</v>
      </c>
      <c r="N2" s="47"/>
      <c r="O2" s="47"/>
      <c r="P2" s="47"/>
      <c r="Q2" s="47"/>
    </row>
    <row r="3" spans="1:17" ht="16.2" thickBot="1" x14ac:dyDescent="0.35">
      <c r="A3" s="144">
        <v>43536</v>
      </c>
      <c r="B3" t="s">
        <v>76</v>
      </c>
      <c r="C3" t="s">
        <v>77</v>
      </c>
      <c r="D3" t="s">
        <v>78</v>
      </c>
      <c r="E3" s="65">
        <v>44816</v>
      </c>
      <c r="F3" s="63" t="str">
        <f>IF(E3&gt;=35000, "Request discount", "No discount available")</f>
        <v>Request discount</v>
      </c>
      <c r="G3" s="142">
        <v>0.1</v>
      </c>
      <c r="H3" s="143">
        <v>1</v>
      </c>
      <c r="I3" s="47"/>
      <c r="J3" s="66">
        <f>AVERAGEIF(B3:B14, "=Box", E3:E14)</f>
        <v>46102.5</v>
      </c>
      <c r="K3" s="64"/>
      <c r="L3" s="47"/>
      <c r="M3" s="146">
        <f>XNPV(G3,H3:H14,A3:A14)</f>
        <v>11.982783068546571</v>
      </c>
      <c r="N3" s="47"/>
      <c r="O3" s="47"/>
      <c r="P3" s="47"/>
      <c r="Q3" s="47"/>
    </row>
    <row r="4" spans="1:17" ht="15.6" x14ac:dyDescent="0.3">
      <c r="A4" s="144">
        <v>43537</v>
      </c>
      <c r="B4" t="s">
        <v>76</v>
      </c>
      <c r="C4" t="s">
        <v>79</v>
      </c>
      <c r="D4" t="s">
        <v>78</v>
      </c>
      <c r="E4" s="65">
        <v>57715</v>
      </c>
      <c r="F4" s="63" t="str">
        <f t="shared" ref="F4:F14" si="0">IF(E4&gt;=35000, "Request discount", "No discount available")</f>
        <v>Request discount</v>
      </c>
      <c r="G4" s="142">
        <v>0.1</v>
      </c>
      <c r="H4" s="143">
        <v>1</v>
      </c>
      <c r="I4" s="47"/>
      <c r="J4" s="115"/>
      <c r="K4" s="47"/>
      <c r="L4" s="47"/>
      <c r="M4" s="47"/>
      <c r="N4" s="47"/>
      <c r="O4" s="47"/>
      <c r="P4" s="47"/>
      <c r="Q4" s="47"/>
    </row>
    <row r="5" spans="1:17" ht="15.6" x14ac:dyDescent="0.3">
      <c r="A5" s="144">
        <v>43538</v>
      </c>
      <c r="B5" t="s">
        <v>76</v>
      </c>
      <c r="C5" t="s">
        <v>80</v>
      </c>
      <c r="D5" t="s">
        <v>78</v>
      </c>
      <c r="E5" s="65">
        <v>51965</v>
      </c>
      <c r="F5" s="63" t="str">
        <f t="shared" si="0"/>
        <v>Request discount</v>
      </c>
      <c r="G5" s="142">
        <v>0.1</v>
      </c>
      <c r="H5" s="143">
        <v>1</v>
      </c>
      <c r="I5" s="47"/>
      <c r="J5" s="140" t="s">
        <v>81</v>
      </c>
      <c r="K5" s="141"/>
      <c r="L5" s="47"/>
      <c r="M5" s="47"/>
      <c r="N5" s="47"/>
      <c r="O5" s="47"/>
      <c r="P5" s="47"/>
      <c r="Q5" s="47"/>
    </row>
    <row r="6" spans="1:17" ht="15.6" x14ac:dyDescent="0.3">
      <c r="A6" s="144">
        <v>43539</v>
      </c>
      <c r="B6" t="s">
        <v>76</v>
      </c>
      <c r="C6" t="s">
        <v>77</v>
      </c>
      <c r="D6" t="s">
        <v>82</v>
      </c>
      <c r="E6" s="65">
        <v>31813</v>
      </c>
      <c r="F6" s="63" t="str">
        <f t="shared" si="0"/>
        <v>No discount available</v>
      </c>
      <c r="G6" s="142">
        <v>0.1</v>
      </c>
      <c r="H6" s="143">
        <v>1</v>
      </c>
      <c r="I6" s="47"/>
      <c r="J6" s="66">
        <f>SUMIFS(E3:E14, B3:B14, "=Envelope", D3:D14, "International")</f>
        <v>45753</v>
      </c>
      <c r="K6" s="64"/>
      <c r="L6" s="47"/>
      <c r="M6" s="47"/>
      <c r="N6" s="47"/>
      <c r="O6" s="47"/>
      <c r="P6" s="47"/>
      <c r="Q6" s="47"/>
    </row>
    <row r="7" spans="1:17" ht="16.2" thickBot="1" x14ac:dyDescent="0.35">
      <c r="A7" s="144">
        <v>43540</v>
      </c>
      <c r="B7" t="s">
        <v>76</v>
      </c>
      <c r="C7" t="s">
        <v>79</v>
      </c>
      <c r="D7" t="s">
        <v>82</v>
      </c>
      <c r="E7" s="65">
        <v>52830</v>
      </c>
      <c r="F7" s="63" t="str">
        <f t="shared" si="0"/>
        <v>Request discount</v>
      </c>
      <c r="G7" s="142">
        <v>0.1</v>
      </c>
      <c r="H7" s="143">
        <v>1</v>
      </c>
      <c r="I7" s="47"/>
      <c r="J7" s="115"/>
      <c r="K7" s="47"/>
      <c r="L7" s="47"/>
      <c r="M7" s="47"/>
      <c r="N7" s="47"/>
      <c r="O7" s="47"/>
      <c r="P7" s="47"/>
      <c r="Q7" s="47"/>
    </row>
    <row r="8" spans="1:17" ht="15.6" x14ac:dyDescent="0.3">
      <c r="A8" s="144">
        <v>43541</v>
      </c>
      <c r="B8" t="s">
        <v>76</v>
      </c>
      <c r="C8" t="s">
        <v>80</v>
      </c>
      <c r="D8" t="s">
        <v>82</v>
      </c>
      <c r="E8" s="65">
        <v>37476</v>
      </c>
      <c r="F8" s="63" t="str">
        <f t="shared" si="0"/>
        <v>Request discount</v>
      </c>
      <c r="G8" s="142">
        <v>0.1</v>
      </c>
      <c r="H8" s="143">
        <v>1</v>
      </c>
      <c r="I8" s="47"/>
      <c r="J8" s="90" t="s">
        <v>84</v>
      </c>
      <c r="K8" s="91" t="s">
        <v>85</v>
      </c>
      <c r="L8" s="91" t="s">
        <v>86</v>
      </c>
      <c r="M8" s="92" t="s">
        <v>87</v>
      </c>
      <c r="N8" s="47"/>
      <c r="O8" s="47"/>
      <c r="P8" s="47"/>
      <c r="Q8" s="47"/>
    </row>
    <row r="9" spans="1:17" ht="15.6" x14ac:dyDescent="0.3">
      <c r="A9" s="144">
        <v>43542</v>
      </c>
      <c r="B9" t="s">
        <v>83</v>
      </c>
      <c r="C9" t="s">
        <v>77</v>
      </c>
      <c r="D9" t="s">
        <v>78</v>
      </c>
      <c r="E9" s="65">
        <v>22793</v>
      </c>
      <c r="F9" s="63" t="str">
        <f t="shared" si="0"/>
        <v>No discount available</v>
      </c>
      <c r="G9" s="142">
        <v>0.1</v>
      </c>
      <c r="H9" s="143">
        <v>1</v>
      </c>
      <c r="I9" s="47"/>
      <c r="J9" s="68" t="s">
        <v>88</v>
      </c>
      <c r="K9" s="67" t="s">
        <v>89</v>
      </c>
      <c r="L9" s="67" t="s">
        <v>90</v>
      </c>
      <c r="M9" s="93" t="s">
        <v>100</v>
      </c>
      <c r="N9" s="47"/>
      <c r="O9" s="47"/>
      <c r="P9" s="47"/>
      <c r="Q9" s="47"/>
    </row>
    <row r="10" spans="1:17" ht="15.6" x14ac:dyDescent="0.3">
      <c r="A10" s="144">
        <v>43543</v>
      </c>
      <c r="B10" t="s">
        <v>83</v>
      </c>
      <c r="C10" t="s">
        <v>79</v>
      </c>
      <c r="D10" t="s">
        <v>78</v>
      </c>
      <c r="E10" s="65">
        <v>21056</v>
      </c>
      <c r="F10" s="63" t="str">
        <f t="shared" si="0"/>
        <v>No discount available</v>
      </c>
      <c r="G10" s="142">
        <v>0.1</v>
      </c>
      <c r="H10" s="143">
        <v>1</v>
      </c>
      <c r="I10" s="47"/>
      <c r="J10" s="68" t="s">
        <v>91</v>
      </c>
      <c r="K10" s="67" t="s">
        <v>92</v>
      </c>
      <c r="L10" s="67" t="s">
        <v>90</v>
      </c>
      <c r="M10" s="93">
        <v>129511</v>
      </c>
      <c r="N10" s="47"/>
      <c r="O10" s="47"/>
      <c r="P10" s="47"/>
      <c r="Q10" s="47"/>
    </row>
    <row r="11" spans="1:17" ht="15.6" x14ac:dyDescent="0.3">
      <c r="A11" s="144">
        <v>43544</v>
      </c>
      <c r="B11" t="s">
        <v>83</v>
      </c>
      <c r="C11" t="s">
        <v>80</v>
      </c>
      <c r="D11" t="s">
        <v>78</v>
      </c>
      <c r="E11" s="65">
        <v>20488</v>
      </c>
      <c r="F11" s="63" t="str">
        <f t="shared" si="0"/>
        <v>No discount available</v>
      </c>
      <c r="G11" s="142">
        <v>0.1</v>
      </c>
      <c r="H11" s="143">
        <v>1</v>
      </c>
      <c r="I11" s="47"/>
      <c r="J11" s="68" t="s">
        <v>93</v>
      </c>
      <c r="K11" s="67" t="s">
        <v>94</v>
      </c>
      <c r="L11" s="67" t="s">
        <v>95</v>
      </c>
      <c r="M11" s="93">
        <v>103228</v>
      </c>
      <c r="N11" s="47"/>
      <c r="O11" s="47"/>
      <c r="P11" s="47"/>
      <c r="Q11" s="47"/>
    </row>
    <row r="12" spans="1:17" ht="15.6" x14ac:dyDescent="0.3">
      <c r="A12" s="144">
        <v>43545</v>
      </c>
      <c r="B12" t="s">
        <v>83</v>
      </c>
      <c r="C12" t="s">
        <v>77</v>
      </c>
      <c r="D12" t="s">
        <v>82</v>
      </c>
      <c r="E12" s="65">
        <v>10189</v>
      </c>
      <c r="F12" s="63" t="str">
        <f t="shared" si="0"/>
        <v>No discount available</v>
      </c>
      <c r="G12" s="142">
        <v>0.1</v>
      </c>
      <c r="H12" s="143">
        <v>1</v>
      </c>
      <c r="I12" s="47"/>
      <c r="J12" s="68" t="s">
        <v>96</v>
      </c>
      <c r="K12" s="67" t="s">
        <v>97</v>
      </c>
      <c r="L12" s="67" t="s">
        <v>90</v>
      </c>
      <c r="M12" s="93">
        <v>86552</v>
      </c>
      <c r="N12" s="47"/>
      <c r="O12" s="47"/>
      <c r="P12" s="47"/>
      <c r="Q12" s="47"/>
    </row>
    <row r="13" spans="1:17" ht="15.6" x14ac:dyDescent="0.3">
      <c r="A13" s="144">
        <v>43546</v>
      </c>
      <c r="B13" t="s">
        <v>83</v>
      </c>
      <c r="C13" t="s">
        <v>79</v>
      </c>
      <c r="D13" t="s">
        <v>82</v>
      </c>
      <c r="E13" s="65">
        <v>18309</v>
      </c>
      <c r="F13" s="63" t="str">
        <f t="shared" si="0"/>
        <v>No discount available</v>
      </c>
      <c r="G13" s="142">
        <v>0.1</v>
      </c>
      <c r="H13" s="143">
        <v>1</v>
      </c>
      <c r="I13" s="47"/>
      <c r="J13" s="94" t="s">
        <v>98</v>
      </c>
      <c r="K13" s="67"/>
      <c r="L13" s="125">
        <f>AVERAGEIF(L9:L12,"=WA",M9:M12)</f>
        <v>108031.5</v>
      </c>
      <c r="M13" s="69"/>
      <c r="N13" s="47"/>
      <c r="O13" s="47"/>
      <c r="P13" s="47"/>
      <c r="Q13" s="47"/>
    </row>
    <row r="14" spans="1:17" ht="16.2" thickBot="1" x14ac:dyDescent="0.35">
      <c r="A14" s="144">
        <v>43547</v>
      </c>
      <c r="B14" t="s">
        <v>83</v>
      </c>
      <c r="C14" t="s">
        <v>80</v>
      </c>
      <c r="D14" t="s">
        <v>82</v>
      </c>
      <c r="E14" s="65">
        <v>17255</v>
      </c>
      <c r="F14" s="63" t="str">
        <f t="shared" si="0"/>
        <v>No discount available</v>
      </c>
      <c r="G14" s="142">
        <v>0.1</v>
      </c>
      <c r="H14" s="143">
        <v>1</v>
      </c>
      <c r="I14" s="47"/>
      <c r="J14" s="95" t="s">
        <v>99</v>
      </c>
      <c r="K14" s="74"/>
      <c r="L14" s="74"/>
      <c r="M14" s="127">
        <f>SUMIFS(M9:M12,L9:L12,"=WA",M9:M12,"&gt;=100000")</f>
        <v>129511</v>
      </c>
      <c r="N14" s="47"/>
      <c r="O14" s="47"/>
      <c r="P14" s="47"/>
      <c r="Q14" s="47"/>
    </row>
    <row r="15" spans="1:17" x14ac:dyDescent="0.3">
      <c r="A15" s="75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</row>
    <row r="16" spans="1:17" x14ac:dyDescent="0.3">
      <c r="A16" s="75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</row>
    <row r="17" spans="1:17" x14ac:dyDescent="0.3">
      <c r="A17" s="75"/>
      <c r="B17" s="47"/>
      <c r="C17" s="47"/>
      <c r="D17" s="47"/>
      <c r="E17" s="47"/>
      <c r="F17" s="47"/>
      <c r="G17" s="47"/>
      <c r="H17" s="47"/>
      <c r="I17" s="48"/>
      <c r="J17" s="47"/>
      <c r="K17" s="47"/>
      <c r="L17" s="47"/>
      <c r="M17" s="47"/>
      <c r="N17" s="47"/>
      <c r="O17" s="47"/>
      <c r="P17" s="47"/>
      <c r="Q17" s="47"/>
    </row>
  </sheetData>
  <mergeCells count="2">
    <mergeCell ref="J2:K2"/>
    <mergeCell ref="J5:K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G12"/>
  <sheetViews>
    <sheetView workbookViewId="0">
      <selection activeCell="E3" sqref="E3"/>
    </sheetView>
  </sheetViews>
  <sheetFormatPr defaultRowHeight="14.4" x14ac:dyDescent="0.3"/>
  <cols>
    <col min="2" max="2" width="12.44140625" customWidth="1"/>
    <col min="5" max="5" width="13.6640625" customWidth="1"/>
  </cols>
  <sheetData>
    <row r="1" spans="1:7" ht="29.4" customHeight="1" x14ac:dyDescent="0.3">
      <c r="A1" s="75"/>
      <c r="C1" s="114" t="s">
        <v>111</v>
      </c>
      <c r="D1" s="75"/>
      <c r="E1" s="75"/>
      <c r="F1" s="75"/>
      <c r="G1" s="75"/>
    </row>
    <row r="2" spans="1:7" ht="18" x14ac:dyDescent="0.35">
      <c r="A2" s="75"/>
      <c r="B2" s="106" t="s">
        <v>104</v>
      </c>
      <c r="C2" s="106" t="s">
        <v>109</v>
      </c>
      <c r="D2" s="107"/>
      <c r="E2" s="106" t="s">
        <v>104</v>
      </c>
      <c r="F2" s="106" t="s">
        <v>109</v>
      </c>
      <c r="G2" s="75"/>
    </row>
    <row r="3" spans="1:7" ht="18" x14ac:dyDescent="0.35">
      <c r="A3" s="75"/>
      <c r="B3" s="108">
        <v>155</v>
      </c>
      <c r="C3" s="108" t="s">
        <v>105</v>
      </c>
      <c r="D3" s="109" t="s">
        <v>44</v>
      </c>
      <c r="E3" s="108">
        <f>CONVERT(B3,"ft","m")</f>
        <v>47.244</v>
      </c>
      <c r="F3" s="108" t="s">
        <v>45</v>
      </c>
      <c r="G3" s="75"/>
    </row>
    <row r="4" spans="1:7" ht="18" x14ac:dyDescent="0.35">
      <c r="A4" s="75"/>
      <c r="B4" s="108">
        <v>90</v>
      </c>
      <c r="C4" s="108" t="s">
        <v>106</v>
      </c>
      <c r="D4" s="109" t="s">
        <v>44</v>
      </c>
      <c r="E4" s="108">
        <f>CONVERT(B4,"in","m")*100</f>
        <v>228.6</v>
      </c>
      <c r="F4" s="108" t="s">
        <v>46</v>
      </c>
      <c r="G4" s="75"/>
    </row>
    <row r="5" spans="1:7" ht="18" x14ac:dyDescent="0.35">
      <c r="A5" s="75"/>
      <c r="B5" s="108">
        <v>34</v>
      </c>
      <c r="C5" s="108" t="s">
        <v>107</v>
      </c>
      <c r="D5" s="109" t="s">
        <v>44</v>
      </c>
      <c r="E5" s="108">
        <f>CONVERT(B5,"us_acre","ha")</f>
        <v>13.759366873572457</v>
      </c>
      <c r="F5" s="108" t="s">
        <v>47</v>
      </c>
      <c r="G5" s="75"/>
    </row>
    <row r="6" spans="1:7" ht="18" x14ac:dyDescent="0.35">
      <c r="A6" s="75"/>
      <c r="B6" s="108">
        <v>220000</v>
      </c>
      <c r="C6" s="108" t="s">
        <v>108</v>
      </c>
      <c r="D6" s="109" t="s">
        <v>44</v>
      </c>
      <c r="E6" s="108">
        <f>CONVERT(B6,"Pa","atm")</f>
        <v>2.1712311867752283</v>
      </c>
      <c r="F6" s="108" t="s">
        <v>48</v>
      </c>
      <c r="G6" s="75"/>
    </row>
    <row r="7" spans="1:7" ht="18" x14ac:dyDescent="0.35">
      <c r="A7" s="75"/>
      <c r="B7" s="113"/>
      <c r="C7" s="113"/>
      <c r="D7" s="113"/>
      <c r="E7" s="113"/>
      <c r="F7" s="113"/>
      <c r="G7" s="75"/>
    </row>
    <row r="8" spans="1:7" ht="15" thickBot="1" x14ac:dyDescent="0.35">
      <c r="A8" s="75"/>
      <c r="B8" s="75"/>
      <c r="C8" s="75"/>
      <c r="D8" s="75"/>
      <c r="E8" s="75"/>
      <c r="F8" s="75"/>
      <c r="G8" s="75"/>
    </row>
    <row r="9" spans="1:7" ht="15" thickBot="1" x14ac:dyDescent="0.35">
      <c r="A9" s="75"/>
      <c r="B9" s="110" t="s">
        <v>110</v>
      </c>
      <c r="C9" s="111"/>
      <c r="D9" s="112"/>
      <c r="E9" s="75"/>
      <c r="F9" s="75"/>
      <c r="G9" s="75"/>
    </row>
    <row r="10" spans="1:7" x14ac:dyDescent="0.3">
      <c r="A10" s="75"/>
      <c r="B10" s="75"/>
      <c r="C10" s="75"/>
      <c r="D10" s="75"/>
      <c r="E10" s="75"/>
      <c r="F10" s="75"/>
      <c r="G10" s="75"/>
    </row>
    <row r="11" spans="1:7" x14ac:dyDescent="0.3">
      <c r="A11" s="75"/>
      <c r="B11" s="75"/>
      <c r="C11" s="75"/>
      <c r="D11" s="75"/>
      <c r="E11" s="75"/>
      <c r="F11" s="75"/>
    </row>
    <row r="12" spans="1:7" x14ac:dyDescent="0.3">
      <c r="A12" s="75"/>
    </row>
  </sheetData>
  <conditionalFormatting sqref="G2">
    <cfRule type="containsBlanks" dxfId="5" priority="4">
      <formula>LEN(TRIM(G2))=0</formula>
    </cfRule>
  </conditionalFormatting>
  <conditionalFormatting sqref="B1:T1048576">
    <cfRule type="containsBlanks" dxfId="4" priority="3">
      <formula>LEN(TRIM(B1))=0</formula>
    </cfRule>
  </conditionalFormatting>
  <conditionalFormatting sqref="A1:A12">
    <cfRule type="containsBlanks" dxfId="3" priority="2">
      <formula>LEN(TRIM(A1))=0</formula>
    </cfRule>
  </conditionalFormatting>
  <conditionalFormatting sqref="A13:A402">
    <cfRule type="containsBlanks" dxfId="2" priority="1">
      <formula>LEN(TRIM(A13))=0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I21"/>
  <sheetViews>
    <sheetView workbookViewId="0">
      <selection activeCell="D14" sqref="D14"/>
    </sheetView>
  </sheetViews>
  <sheetFormatPr defaultRowHeight="14.4" x14ac:dyDescent="0.3"/>
  <cols>
    <col min="1" max="1" width="3.88671875" customWidth="1"/>
    <col min="3" max="3" width="12.88671875" customWidth="1"/>
    <col min="4" max="4" width="10.33203125" customWidth="1"/>
    <col min="5" max="5" width="14" customWidth="1"/>
    <col min="7" max="7" width="16" customWidth="1"/>
    <col min="8" max="8" width="13.77734375" customWidth="1"/>
  </cols>
  <sheetData>
    <row r="2" spans="1:9" x14ac:dyDescent="0.3">
      <c r="A2" s="76"/>
      <c r="B2" s="87" t="s">
        <v>49</v>
      </c>
      <c r="C2" s="87" t="s">
        <v>55</v>
      </c>
      <c r="D2" s="87" t="s">
        <v>56</v>
      </c>
      <c r="E2" s="87" t="s">
        <v>59</v>
      </c>
      <c r="F2" s="76"/>
      <c r="G2" s="77"/>
      <c r="H2" s="76"/>
      <c r="I2" s="76"/>
    </row>
    <row r="3" spans="1:9" x14ac:dyDescent="0.3">
      <c r="A3" s="76"/>
      <c r="B3" s="125" t="s">
        <v>50</v>
      </c>
      <c r="C3" s="26">
        <v>3452</v>
      </c>
      <c r="D3" s="27">
        <f t="shared" ref="D3:D12" si="0">IF(C3&gt;$H$7,$H$4,$H$5)</f>
        <v>0.1</v>
      </c>
      <c r="E3" s="26">
        <f>C3*D3</f>
        <v>345.20000000000005</v>
      </c>
      <c r="F3" s="76"/>
      <c r="G3" s="67" t="s">
        <v>66</v>
      </c>
      <c r="H3" s="27" t="s">
        <v>67</v>
      </c>
      <c r="I3" s="76"/>
    </row>
    <row r="4" spans="1:9" x14ac:dyDescent="0.3">
      <c r="A4" s="76"/>
      <c r="B4" s="126" t="s">
        <v>51</v>
      </c>
      <c r="C4" s="85">
        <v>5972</v>
      </c>
      <c r="D4" s="86">
        <f t="shared" si="0"/>
        <v>0.2</v>
      </c>
      <c r="E4" s="85">
        <f t="shared" ref="E4:E12" si="1">C4*D4</f>
        <v>1194.4000000000001</v>
      </c>
      <c r="F4" s="76"/>
      <c r="G4" s="83" t="s">
        <v>102</v>
      </c>
      <c r="H4" s="84">
        <v>0.2</v>
      </c>
      <c r="I4" s="76"/>
    </row>
    <row r="5" spans="1:9" x14ac:dyDescent="0.3">
      <c r="A5" s="76"/>
      <c r="B5" s="125" t="s">
        <v>52</v>
      </c>
      <c r="C5" s="26">
        <v>1248</v>
      </c>
      <c r="D5" s="27">
        <f t="shared" si="0"/>
        <v>0.1</v>
      </c>
      <c r="E5" s="26">
        <f t="shared" si="1"/>
        <v>124.80000000000001</v>
      </c>
      <c r="F5" s="76"/>
      <c r="G5" s="67" t="s">
        <v>103</v>
      </c>
      <c r="H5" s="27">
        <v>0.1</v>
      </c>
      <c r="I5" s="76"/>
    </row>
    <row r="6" spans="1:9" x14ac:dyDescent="0.3">
      <c r="A6" s="76"/>
      <c r="B6" s="126" t="s">
        <v>53</v>
      </c>
      <c r="C6" s="85">
        <v>3546</v>
      </c>
      <c r="D6" s="86">
        <f t="shared" si="0"/>
        <v>0.2</v>
      </c>
      <c r="E6" s="85">
        <f t="shared" si="1"/>
        <v>709.2</v>
      </c>
      <c r="F6" s="76"/>
      <c r="G6" s="83"/>
      <c r="H6" s="83"/>
      <c r="I6" s="76"/>
    </row>
    <row r="7" spans="1:9" x14ac:dyDescent="0.3">
      <c r="A7" s="76"/>
      <c r="B7" s="125" t="s">
        <v>54</v>
      </c>
      <c r="C7" s="26">
        <v>4954</v>
      </c>
      <c r="D7" s="27">
        <f t="shared" si="0"/>
        <v>0.2</v>
      </c>
      <c r="E7" s="26">
        <f t="shared" si="1"/>
        <v>990.80000000000007</v>
      </c>
      <c r="F7" s="76"/>
      <c r="G7" s="67" t="s">
        <v>101</v>
      </c>
      <c r="H7" s="26">
        <v>3500</v>
      </c>
      <c r="I7" s="76"/>
    </row>
    <row r="8" spans="1:9" ht="15" thickBot="1" x14ac:dyDescent="0.35">
      <c r="A8" s="76"/>
      <c r="B8" s="126" t="s">
        <v>50</v>
      </c>
      <c r="C8" s="85">
        <v>3154</v>
      </c>
      <c r="D8" s="86">
        <f t="shared" si="0"/>
        <v>0.1</v>
      </c>
      <c r="E8" s="85">
        <f t="shared" si="1"/>
        <v>315.40000000000003</v>
      </c>
      <c r="F8" s="76"/>
      <c r="G8" s="76"/>
      <c r="H8" s="76"/>
      <c r="I8" s="76"/>
    </row>
    <row r="9" spans="1:9" x14ac:dyDescent="0.3">
      <c r="A9" s="76"/>
      <c r="B9" s="125" t="s">
        <v>51</v>
      </c>
      <c r="C9" s="26">
        <v>2474</v>
      </c>
      <c r="D9" s="27">
        <f t="shared" si="0"/>
        <v>0.1</v>
      </c>
      <c r="E9" s="26">
        <f t="shared" si="1"/>
        <v>247.4</v>
      </c>
      <c r="F9" s="76"/>
      <c r="G9" s="88" t="s">
        <v>62</v>
      </c>
      <c r="H9" s="89"/>
      <c r="I9" s="78"/>
    </row>
    <row r="10" spans="1:9" x14ac:dyDescent="0.3">
      <c r="A10" s="76"/>
      <c r="B10" s="126" t="s">
        <v>53</v>
      </c>
      <c r="C10" s="85">
        <v>9455</v>
      </c>
      <c r="D10" s="86">
        <f t="shared" si="0"/>
        <v>0.2</v>
      </c>
      <c r="E10" s="85">
        <f t="shared" si="1"/>
        <v>1891</v>
      </c>
      <c r="F10" s="76"/>
      <c r="G10" s="70" t="s">
        <v>49</v>
      </c>
      <c r="H10" s="71" t="s">
        <v>12</v>
      </c>
      <c r="I10" s="78"/>
    </row>
    <row r="11" spans="1:9" x14ac:dyDescent="0.3">
      <c r="A11" s="76"/>
      <c r="B11" s="125" t="s">
        <v>50</v>
      </c>
      <c r="C11" s="26">
        <v>7546</v>
      </c>
      <c r="D11" s="27">
        <f t="shared" si="0"/>
        <v>0.2</v>
      </c>
      <c r="E11" s="26">
        <f t="shared" si="1"/>
        <v>1509.2</v>
      </c>
      <c r="F11" s="76"/>
      <c r="G11" s="79" t="s">
        <v>50</v>
      </c>
      <c r="H11" s="80">
        <f>SUMIF(B:B,G11,E:E)</f>
        <v>2169.8000000000002</v>
      </c>
      <c r="I11" s="78"/>
    </row>
    <row r="12" spans="1:9" x14ac:dyDescent="0.3">
      <c r="A12" s="76"/>
      <c r="B12" s="126" t="s">
        <v>52</v>
      </c>
      <c r="C12" s="85">
        <v>2143</v>
      </c>
      <c r="D12" s="86">
        <f t="shared" si="0"/>
        <v>0.1</v>
      </c>
      <c r="E12" s="85">
        <f t="shared" si="1"/>
        <v>214.3</v>
      </c>
      <c r="F12" s="76"/>
      <c r="G12" s="72" t="s">
        <v>51</v>
      </c>
      <c r="H12" s="73">
        <f>SUMIF(B:B,G12,E:E)</f>
        <v>1441.8000000000002</v>
      </c>
      <c r="I12" s="78"/>
    </row>
    <row r="13" spans="1:9" x14ac:dyDescent="0.3">
      <c r="A13" s="76"/>
      <c r="B13" s="76"/>
      <c r="C13" s="76"/>
      <c r="D13" s="76"/>
      <c r="E13" s="76"/>
      <c r="F13" s="76"/>
      <c r="G13" s="79" t="s">
        <v>52</v>
      </c>
      <c r="H13" s="80">
        <f>SUMIF(B:B,G13,E:E)</f>
        <v>339.1</v>
      </c>
      <c r="I13" s="78"/>
    </row>
    <row r="14" spans="1:9" x14ac:dyDescent="0.3">
      <c r="A14" s="76"/>
      <c r="B14" s="76"/>
      <c r="C14" s="76"/>
      <c r="D14" s="76"/>
      <c r="E14" s="76"/>
      <c r="F14" s="76"/>
      <c r="G14" s="72" t="s">
        <v>53</v>
      </c>
      <c r="H14" s="73">
        <f>SUMIF(B:B,G14,E:E)</f>
        <v>2600.1999999999998</v>
      </c>
      <c r="I14" s="78"/>
    </row>
    <row r="15" spans="1:9" ht="15" thickBot="1" x14ac:dyDescent="0.35">
      <c r="A15" s="76"/>
      <c r="B15" s="76"/>
      <c r="C15" s="76"/>
      <c r="D15" s="76"/>
      <c r="E15" s="76"/>
      <c r="F15" s="76"/>
      <c r="G15" s="81" t="s">
        <v>54</v>
      </c>
      <c r="H15" s="82">
        <f>SUMIF(B:B,G15,E:E)</f>
        <v>990.80000000000007</v>
      </c>
      <c r="I15" s="78"/>
    </row>
    <row r="16" spans="1:9" x14ac:dyDescent="0.3">
      <c r="A16" s="76"/>
      <c r="B16" s="76"/>
      <c r="C16" s="76"/>
      <c r="D16" s="76"/>
      <c r="E16" s="76"/>
      <c r="F16" s="76"/>
      <c r="G16" s="76"/>
      <c r="H16" s="76"/>
      <c r="I16" s="76"/>
    </row>
    <row r="17" spans="1:9" x14ac:dyDescent="0.3">
      <c r="A17" s="76"/>
      <c r="B17" s="76"/>
      <c r="C17" s="76"/>
      <c r="D17" s="76"/>
      <c r="E17" s="76"/>
      <c r="F17" s="76"/>
      <c r="G17" s="76"/>
      <c r="H17" s="76"/>
      <c r="I17" s="76"/>
    </row>
    <row r="18" spans="1:9" x14ac:dyDescent="0.3">
      <c r="A18" s="76"/>
      <c r="B18" s="76"/>
      <c r="C18" s="76"/>
      <c r="D18" s="76"/>
      <c r="E18" s="76"/>
      <c r="F18" s="76"/>
      <c r="G18" s="76"/>
      <c r="H18" s="76"/>
      <c r="I18" s="76"/>
    </row>
    <row r="19" spans="1:9" x14ac:dyDescent="0.3">
      <c r="A19" s="76"/>
      <c r="B19" s="76"/>
      <c r="C19" s="76"/>
      <c r="D19" s="76"/>
      <c r="E19" s="76"/>
      <c r="F19" s="76"/>
      <c r="G19" s="76"/>
      <c r="H19" s="76"/>
      <c r="I19" s="76"/>
    </row>
    <row r="20" spans="1:9" x14ac:dyDescent="0.3">
      <c r="B20" s="75"/>
      <c r="C20" s="75"/>
      <c r="D20" s="75"/>
      <c r="E20" s="75"/>
      <c r="F20" s="75"/>
      <c r="G20" s="75"/>
      <c r="H20" s="75"/>
      <c r="I20" s="75"/>
    </row>
    <row r="21" spans="1:9" x14ac:dyDescent="0.3">
      <c r="G21" s="75"/>
      <c r="H21" s="75"/>
      <c r="I21" s="75"/>
    </row>
  </sheetData>
  <conditionalFormatting sqref="A1:AE1048576">
    <cfRule type="containsBlanks" dxfId="1" priority="1">
      <formula>LEN(TRIM(A1))=0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30"/>
  <sheetViews>
    <sheetView topLeftCell="C1" workbookViewId="0">
      <selection activeCell="I9" sqref="I9"/>
    </sheetView>
  </sheetViews>
  <sheetFormatPr defaultRowHeight="14.4" x14ac:dyDescent="0.3"/>
  <cols>
    <col min="1" max="1" width="10.44140625" customWidth="1"/>
    <col min="2" max="2" width="13.44140625" customWidth="1"/>
    <col min="3" max="3" width="12.44140625" customWidth="1"/>
    <col min="4" max="4" width="10.44140625" customWidth="1"/>
    <col min="5" max="5" width="12" customWidth="1"/>
    <col min="6" max="7" width="10.44140625" customWidth="1"/>
    <col min="8" max="8" width="3.5546875" customWidth="1"/>
    <col min="9" max="9" width="22.5546875" customWidth="1"/>
    <col min="10" max="10" width="13.33203125" customWidth="1"/>
    <col min="11" max="11" width="10.21875" customWidth="1"/>
    <col min="12" max="12" width="11.5546875" customWidth="1"/>
    <col min="13" max="13" width="12.33203125" customWidth="1"/>
  </cols>
  <sheetData>
    <row r="1" spans="1:14" x14ac:dyDescent="0.3">
      <c r="A1" s="16" t="s">
        <v>49</v>
      </c>
      <c r="B1" s="17" t="s">
        <v>68</v>
      </c>
      <c r="C1" s="18" t="s">
        <v>55</v>
      </c>
      <c r="D1" s="18" t="s">
        <v>56</v>
      </c>
      <c r="E1" s="18" t="s">
        <v>59</v>
      </c>
      <c r="F1" s="19" t="s">
        <v>58</v>
      </c>
      <c r="G1" s="20" t="s">
        <v>57</v>
      </c>
      <c r="H1" s="47"/>
      <c r="I1" s="29" t="s">
        <v>63</v>
      </c>
      <c r="J1" s="34"/>
      <c r="K1" s="39" t="s">
        <v>62</v>
      </c>
      <c r="L1" s="40"/>
      <c r="M1" s="47"/>
      <c r="N1" s="47"/>
    </row>
    <row r="2" spans="1:14" x14ac:dyDescent="0.3">
      <c r="A2" s="16"/>
      <c r="B2" s="21"/>
      <c r="C2" s="22"/>
      <c r="D2" s="22"/>
      <c r="E2" s="22"/>
      <c r="F2" s="23"/>
      <c r="G2" s="24"/>
      <c r="H2" s="47"/>
      <c r="I2" s="31" t="s">
        <v>64</v>
      </c>
      <c r="J2" s="49">
        <v>0.2</v>
      </c>
      <c r="K2" s="41" t="s">
        <v>49</v>
      </c>
      <c r="L2" s="42" t="s">
        <v>12</v>
      </c>
      <c r="M2" s="47"/>
      <c r="N2" s="47"/>
    </row>
    <row r="3" spans="1:14" x14ac:dyDescent="0.3">
      <c r="A3" t="s">
        <v>50</v>
      </c>
      <c r="B3" s="25">
        <v>41278</v>
      </c>
      <c r="C3" s="117">
        <v>3452</v>
      </c>
      <c r="D3" s="118">
        <f>IF(C3&gt;=$J$5,$J$2,$J$3)</f>
        <v>0.1</v>
      </c>
      <c r="E3" s="117">
        <f>C3*D3</f>
        <v>345.20000000000005</v>
      </c>
      <c r="F3" s="119">
        <f>WEEKDAY(B3,2)</f>
        <v>5</v>
      </c>
      <c r="G3" s="120">
        <f>WEEKNUM(B3,2)</f>
        <v>1</v>
      </c>
      <c r="H3" s="47"/>
      <c r="I3" s="31" t="s">
        <v>65</v>
      </c>
      <c r="J3" s="49">
        <v>0.1</v>
      </c>
      <c r="K3" s="43" t="s">
        <v>50</v>
      </c>
      <c r="L3" s="44">
        <f>SUMIF(A:A,K3,E:E)</f>
        <v>3968.2000000000003</v>
      </c>
      <c r="M3" s="47"/>
      <c r="N3" s="47"/>
    </row>
    <row r="4" spans="1:14" x14ac:dyDescent="0.3">
      <c r="A4" t="s">
        <v>51</v>
      </c>
      <c r="B4" s="25">
        <v>41279</v>
      </c>
      <c r="C4" s="117">
        <v>5972</v>
      </c>
      <c r="D4" s="118">
        <f t="shared" ref="D4:D22" si="0">IF(C4&gt;=$J$5,$J$2,$J$3)</f>
        <v>0.2</v>
      </c>
      <c r="E4" s="117">
        <f t="shared" ref="E4:E22" si="1">C4*D4</f>
        <v>1194.4000000000001</v>
      </c>
      <c r="F4" s="119">
        <f t="shared" ref="F4:F22" si="2">WEEKDAY(B4,2)</f>
        <v>6</v>
      </c>
      <c r="G4" s="120">
        <f t="shared" ref="G4:G22" si="3">WEEKNUM(B4,2)</f>
        <v>1</v>
      </c>
      <c r="H4" s="47"/>
      <c r="I4" s="31"/>
      <c r="J4" s="35"/>
      <c r="K4" s="43" t="s">
        <v>51</v>
      </c>
      <c r="L4" s="44">
        <f>SUMIF(A:A,K4,E:E)</f>
        <v>2359</v>
      </c>
      <c r="M4" s="47"/>
      <c r="N4" s="47"/>
    </row>
    <row r="5" spans="1:14" ht="15" thickBot="1" x14ac:dyDescent="0.35">
      <c r="A5" t="s">
        <v>52</v>
      </c>
      <c r="B5" s="25">
        <v>41279</v>
      </c>
      <c r="C5" s="117">
        <v>1248</v>
      </c>
      <c r="D5" s="118">
        <f t="shared" si="0"/>
        <v>0.1</v>
      </c>
      <c r="E5" s="117">
        <f t="shared" si="1"/>
        <v>124.80000000000001</v>
      </c>
      <c r="F5" s="119">
        <f t="shared" si="2"/>
        <v>6</v>
      </c>
      <c r="G5" s="120">
        <f t="shared" si="3"/>
        <v>1</v>
      </c>
      <c r="H5" s="47"/>
      <c r="I5" s="32" t="s">
        <v>119</v>
      </c>
      <c r="J5" s="50">
        <v>3500</v>
      </c>
      <c r="K5" s="43" t="s">
        <v>52</v>
      </c>
      <c r="L5" s="44">
        <f>SUMIF(A:A,K5,E:E)</f>
        <v>1501.5</v>
      </c>
      <c r="M5" s="47"/>
      <c r="N5" s="47"/>
    </row>
    <row r="6" spans="1:14" x14ac:dyDescent="0.3">
      <c r="A6" t="s">
        <v>53</v>
      </c>
      <c r="B6" s="25">
        <v>41281</v>
      </c>
      <c r="C6" s="117">
        <v>3546</v>
      </c>
      <c r="D6" s="118">
        <f t="shared" si="0"/>
        <v>0.2</v>
      </c>
      <c r="E6" s="117">
        <f t="shared" si="1"/>
        <v>709.2</v>
      </c>
      <c r="F6" s="119">
        <f t="shared" si="2"/>
        <v>1</v>
      </c>
      <c r="G6" s="120">
        <f t="shared" si="3"/>
        <v>2</v>
      </c>
      <c r="H6" s="47"/>
      <c r="I6" s="47"/>
      <c r="J6" s="47"/>
      <c r="K6" s="43" t="s">
        <v>53</v>
      </c>
      <c r="L6" s="44">
        <f>SUMIF(A:A,K6,E:E)</f>
        <v>3749.3999999999996</v>
      </c>
      <c r="M6" s="47"/>
      <c r="N6" s="47"/>
    </row>
    <row r="7" spans="1:14" ht="15" thickBot="1" x14ac:dyDescent="0.35">
      <c r="A7" t="s">
        <v>54</v>
      </c>
      <c r="B7" s="25">
        <v>41288</v>
      </c>
      <c r="C7" s="117">
        <v>4954</v>
      </c>
      <c r="D7" s="118">
        <f t="shared" si="0"/>
        <v>0.2</v>
      </c>
      <c r="E7" s="117">
        <f t="shared" si="1"/>
        <v>990.80000000000007</v>
      </c>
      <c r="F7" s="119">
        <f t="shared" si="2"/>
        <v>1</v>
      </c>
      <c r="G7" s="120">
        <f t="shared" si="3"/>
        <v>3</v>
      </c>
      <c r="H7" s="47"/>
      <c r="I7" s="47"/>
      <c r="J7" s="47"/>
      <c r="K7" s="45" t="s">
        <v>54</v>
      </c>
      <c r="L7" s="46">
        <f>SUMIF(A:A,K7,E:E)</f>
        <v>3007.6000000000004</v>
      </c>
      <c r="M7" s="47"/>
      <c r="N7" s="47"/>
    </row>
    <row r="8" spans="1:14" x14ac:dyDescent="0.3">
      <c r="A8" t="s">
        <v>50</v>
      </c>
      <c r="B8" s="25">
        <v>41289</v>
      </c>
      <c r="C8" s="117">
        <v>3154</v>
      </c>
      <c r="D8" s="118">
        <f t="shared" si="0"/>
        <v>0.1</v>
      </c>
      <c r="E8" s="117">
        <f t="shared" si="1"/>
        <v>315.40000000000003</v>
      </c>
      <c r="F8" s="119">
        <f t="shared" si="2"/>
        <v>2</v>
      </c>
      <c r="G8" s="120">
        <f t="shared" si="3"/>
        <v>3</v>
      </c>
      <c r="H8" s="47"/>
      <c r="I8" s="47"/>
      <c r="J8" s="47"/>
      <c r="K8" s="47"/>
      <c r="L8" s="47"/>
      <c r="M8" s="47"/>
      <c r="N8" s="47"/>
    </row>
    <row r="9" spans="1:14" ht="15" thickBot="1" x14ac:dyDescent="0.35">
      <c r="A9" t="s">
        <v>51</v>
      </c>
      <c r="B9" s="25">
        <v>41291</v>
      </c>
      <c r="C9" s="117">
        <v>2474</v>
      </c>
      <c r="D9" s="118">
        <f t="shared" si="0"/>
        <v>0.1</v>
      </c>
      <c r="E9" s="117">
        <f t="shared" si="1"/>
        <v>247.4</v>
      </c>
      <c r="F9" s="119">
        <f t="shared" si="2"/>
        <v>4</v>
      </c>
      <c r="G9" s="120">
        <f t="shared" si="3"/>
        <v>3</v>
      </c>
      <c r="H9" s="47"/>
      <c r="I9" s="47"/>
      <c r="J9" s="47"/>
      <c r="K9" s="47"/>
      <c r="L9" s="47"/>
      <c r="M9" s="47"/>
      <c r="N9" s="47"/>
    </row>
    <row r="10" spans="1:14" x14ac:dyDescent="0.3">
      <c r="A10" t="s">
        <v>53</v>
      </c>
      <c r="B10" s="25">
        <v>41291</v>
      </c>
      <c r="C10" s="117">
        <v>9455</v>
      </c>
      <c r="D10" s="118">
        <f t="shared" si="0"/>
        <v>0.2</v>
      </c>
      <c r="E10" s="117">
        <f t="shared" si="1"/>
        <v>1891</v>
      </c>
      <c r="F10" s="119">
        <f t="shared" si="2"/>
        <v>4</v>
      </c>
      <c r="G10" s="120">
        <f t="shared" si="3"/>
        <v>3</v>
      </c>
      <c r="H10" s="47"/>
      <c r="I10" s="47"/>
      <c r="J10" s="47"/>
      <c r="K10" s="36" t="s">
        <v>61</v>
      </c>
      <c r="L10" s="34"/>
      <c r="M10" s="30"/>
      <c r="N10" s="47"/>
    </row>
    <row r="11" spans="1:14" x14ac:dyDescent="0.3">
      <c r="A11" t="s">
        <v>50</v>
      </c>
      <c r="B11" s="25">
        <v>41295</v>
      </c>
      <c r="C11" s="117">
        <v>7546</v>
      </c>
      <c r="D11" s="118">
        <f t="shared" si="0"/>
        <v>0.2</v>
      </c>
      <c r="E11" s="117">
        <f t="shared" si="1"/>
        <v>1509.2</v>
      </c>
      <c r="F11" s="119">
        <f t="shared" si="2"/>
        <v>1</v>
      </c>
      <c r="G11" s="120">
        <f t="shared" si="3"/>
        <v>4</v>
      </c>
      <c r="H11" s="47"/>
      <c r="I11" s="47"/>
      <c r="J11" s="47"/>
      <c r="K11" s="31" t="s">
        <v>112</v>
      </c>
      <c r="L11" s="35">
        <v>1</v>
      </c>
      <c r="M11" s="37">
        <f t="shared" ref="M11:M17" si="4">SUMIF(F:F,L11,E:E)</f>
        <v>3423.5</v>
      </c>
      <c r="N11" s="47"/>
    </row>
    <row r="12" spans="1:14" x14ac:dyDescent="0.3">
      <c r="A12" t="s">
        <v>52</v>
      </c>
      <c r="B12" s="25">
        <v>41295</v>
      </c>
      <c r="C12" s="117">
        <v>2143</v>
      </c>
      <c r="D12" s="118">
        <f t="shared" si="0"/>
        <v>0.1</v>
      </c>
      <c r="E12" s="117">
        <f t="shared" si="1"/>
        <v>214.3</v>
      </c>
      <c r="F12" s="119">
        <f t="shared" si="2"/>
        <v>1</v>
      </c>
      <c r="G12" s="120">
        <f t="shared" si="3"/>
        <v>4</v>
      </c>
      <c r="H12" s="47"/>
      <c r="I12" s="47"/>
      <c r="J12" s="47"/>
      <c r="K12" s="31" t="s">
        <v>113</v>
      </c>
      <c r="L12" s="35">
        <v>2</v>
      </c>
      <c r="M12" s="37">
        <f t="shared" si="4"/>
        <v>1325.4</v>
      </c>
      <c r="N12" s="47"/>
    </row>
    <row r="13" spans="1:14" x14ac:dyDescent="0.3">
      <c r="A13" t="s">
        <v>52</v>
      </c>
      <c r="B13" s="25">
        <v>41296</v>
      </c>
      <c r="C13" s="117">
        <v>2456</v>
      </c>
      <c r="D13" s="118">
        <f t="shared" si="0"/>
        <v>0.1</v>
      </c>
      <c r="E13" s="117">
        <f t="shared" si="1"/>
        <v>245.60000000000002</v>
      </c>
      <c r="F13" s="119">
        <f t="shared" si="2"/>
        <v>2</v>
      </c>
      <c r="G13" s="120">
        <f t="shared" si="3"/>
        <v>4</v>
      </c>
      <c r="H13" s="47"/>
      <c r="I13" s="47"/>
      <c r="J13" s="47"/>
      <c r="K13" s="31" t="s">
        <v>114</v>
      </c>
      <c r="L13" s="35">
        <v>3</v>
      </c>
      <c r="M13" s="37">
        <f t="shared" si="4"/>
        <v>0</v>
      </c>
      <c r="N13" s="47"/>
    </row>
    <row r="14" spans="1:14" x14ac:dyDescent="0.3">
      <c r="A14" t="s">
        <v>53</v>
      </c>
      <c r="B14" s="25">
        <v>41296</v>
      </c>
      <c r="C14" s="117">
        <v>644</v>
      </c>
      <c r="D14" s="118">
        <f t="shared" si="0"/>
        <v>0.1</v>
      </c>
      <c r="E14" s="117">
        <f t="shared" si="1"/>
        <v>64.400000000000006</v>
      </c>
      <c r="F14" s="119">
        <f t="shared" si="2"/>
        <v>2</v>
      </c>
      <c r="G14" s="120">
        <f t="shared" si="3"/>
        <v>4</v>
      </c>
      <c r="H14" s="47"/>
      <c r="I14" s="47"/>
      <c r="J14" s="47"/>
      <c r="K14" s="31" t="s">
        <v>115</v>
      </c>
      <c r="L14" s="35">
        <v>4</v>
      </c>
      <c r="M14" s="37">
        <f t="shared" si="4"/>
        <v>3301.4000000000005</v>
      </c>
      <c r="N14" s="47"/>
    </row>
    <row r="15" spans="1:14" x14ac:dyDescent="0.3">
      <c r="A15" t="s">
        <v>54</v>
      </c>
      <c r="B15" s="25">
        <v>41296</v>
      </c>
      <c r="C15" s="117">
        <v>3500</v>
      </c>
      <c r="D15" s="118">
        <f t="shared" si="0"/>
        <v>0.2</v>
      </c>
      <c r="E15" s="117">
        <f t="shared" si="1"/>
        <v>700</v>
      </c>
      <c r="F15" s="119">
        <f t="shared" si="2"/>
        <v>2</v>
      </c>
      <c r="G15" s="120">
        <f t="shared" si="3"/>
        <v>4</v>
      </c>
      <c r="H15" s="47"/>
      <c r="I15" s="47"/>
      <c r="J15" s="47"/>
      <c r="K15" s="31" t="s">
        <v>116</v>
      </c>
      <c r="L15" s="35">
        <v>5</v>
      </c>
      <c r="M15" s="37">
        <f t="shared" si="4"/>
        <v>3664</v>
      </c>
      <c r="N15" s="47"/>
    </row>
    <row r="16" spans="1:14" x14ac:dyDescent="0.3">
      <c r="A16" t="s">
        <v>50</v>
      </c>
      <c r="B16" s="25">
        <v>41298</v>
      </c>
      <c r="C16" s="117">
        <v>2458</v>
      </c>
      <c r="D16" s="118">
        <f t="shared" si="0"/>
        <v>0.1</v>
      </c>
      <c r="E16" s="117">
        <f t="shared" si="1"/>
        <v>245.8</v>
      </c>
      <c r="F16" s="119">
        <f t="shared" si="2"/>
        <v>4</v>
      </c>
      <c r="G16" s="120">
        <f t="shared" si="3"/>
        <v>4</v>
      </c>
      <c r="H16" s="47"/>
      <c r="I16" s="47"/>
      <c r="J16" s="47"/>
      <c r="K16" s="31" t="s">
        <v>117</v>
      </c>
      <c r="L16" s="35">
        <v>6</v>
      </c>
      <c r="M16" s="37">
        <f t="shared" si="4"/>
        <v>1554.6000000000001</v>
      </c>
      <c r="N16" s="47"/>
    </row>
    <row r="17" spans="1:14" ht="15" thickBot="1" x14ac:dyDescent="0.35">
      <c r="A17" t="s">
        <v>51</v>
      </c>
      <c r="B17" s="25">
        <v>41298</v>
      </c>
      <c r="C17" s="117">
        <v>4586</v>
      </c>
      <c r="D17" s="118">
        <f t="shared" si="0"/>
        <v>0.2</v>
      </c>
      <c r="E17" s="117">
        <f t="shared" si="1"/>
        <v>917.2</v>
      </c>
      <c r="F17" s="119">
        <f t="shared" si="2"/>
        <v>4</v>
      </c>
      <c r="G17" s="120">
        <f t="shared" si="3"/>
        <v>4</v>
      </c>
      <c r="H17" s="47"/>
      <c r="I17" s="47"/>
      <c r="J17" s="47"/>
      <c r="K17" s="32" t="s">
        <v>118</v>
      </c>
      <c r="L17" s="38">
        <v>7</v>
      </c>
      <c r="M17" s="33">
        <f t="shared" si="4"/>
        <v>1316.8000000000002</v>
      </c>
      <c r="N17" s="47"/>
    </row>
    <row r="18" spans="1:14" ht="15" thickBot="1" x14ac:dyDescent="0.35">
      <c r="A18" t="s">
        <v>53</v>
      </c>
      <c r="B18" s="25">
        <v>41299</v>
      </c>
      <c r="C18" s="117">
        <v>5424</v>
      </c>
      <c r="D18" s="118">
        <f t="shared" si="0"/>
        <v>0.2</v>
      </c>
      <c r="E18" s="117">
        <f t="shared" si="1"/>
        <v>1084.8</v>
      </c>
      <c r="F18" s="119">
        <f t="shared" si="2"/>
        <v>5</v>
      </c>
      <c r="G18" s="120">
        <f t="shared" si="3"/>
        <v>4</v>
      </c>
      <c r="H18" s="47"/>
      <c r="I18" s="47"/>
      <c r="J18" s="47"/>
      <c r="K18" s="47"/>
      <c r="L18" s="47"/>
      <c r="M18" s="47"/>
      <c r="N18" s="47"/>
    </row>
    <row r="19" spans="1:14" x14ac:dyDescent="0.3">
      <c r="A19" t="s">
        <v>50</v>
      </c>
      <c r="B19" s="25">
        <v>41299</v>
      </c>
      <c r="C19" s="117">
        <v>6586</v>
      </c>
      <c r="D19" s="118">
        <f t="shared" si="0"/>
        <v>0.2</v>
      </c>
      <c r="E19" s="117">
        <f t="shared" si="1"/>
        <v>1317.2</v>
      </c>
      <c r="F19" s="119">
        <f t="shared" si="2"/>
        <v>5</v>
      </c>
      <c r="G19" s="120">
        <f t="shared" si="3"/>
        <v>4</v>
      </c>
      <c r="H19" s="47"/>
      <c r="I19" s="47"/>
      <c r="J19" s="47"/>
      <c r="K19" s="36" t="s">
        <v>60</v>
      </c>
      <c r="L19" s="34"/>
      <c r="M19" s="30"/>
      <c r="N19" s="47"/>
    </row>
    <row r="20" spans="1:14" x14ac:dyDescent="0.3">
      <c r="A20" t="s">
        <v>52</v>
      </c>
      <c r="B20" s="25">
        <v>41299</v>
      </c>
      <c r="C20" s="117">
        <v>4584</v>
      </c>
      <c r="D20" s="118">
        <f t="shared" si="0"/>
        <v>0.2</v>
      </c>
      <c r="E20" s="117">
        <f t="shared" si="1"/>
        <v>916.80000000000007</v>
      </c>
      <c r="F20" s="119">
        <f t="shared" si="2"/>
        <v>5</v>
      </c>
      <c r="G20" s="120">
        <f t="shared" si="3"/>
        <v>4</v>
      </c>
      <c r="H20" s="47"/>
      <c r="I20" s="47"/>
      <c r="J20" s="47"/>
      <c r="K20" s="31"/>
      <c r="L20" s="35">
        <v>1</v>
      </c>
      <c r="M20" s="37">
        <f>SUMIF(G:G,L20,E:E)</f>
        <v>1664.4</v>
      </c>
      <c r="N20" s="47"/>
    </row>
    <row r="21" spans="1:14" x14ac:dyDescent="0.3">
      <c r="A21" t="s">
        <v>50</v>
      </c>
      <c r="B21" s="25">
        <v>41300</v>
      </c>
      <c r="C21" s="117">
        <v>2354</v>
      </c>
      <c r="D21" s="118">
        <f t="shared" si="0"/>
        <v>0.1</v>
      </c>
      <c r="E21" s="117">
        <f t="shared" si="1"/>
        <v>235.4</v>
      </c>
      <c r="F21" s="119">
        <f t="shared" si="2"/>
        <v>6</v>
      </c>
      <c r="G21" s="120">
        <f t="shared" si="3"/>
        <v>4</v>
      </c>
      <c r="H21" s="47"/>
      <c r="I21" s="47"/>
      <c r="J21" s="47"/>
      <c r="K21" s="31"/>
      <c r="L21" s="35">
        <v>2</v>
      </c>
      <c r="M21" s="37">
        <f>SUMIF(G:G,L21,E:E)</f>
        <v>709.2</v>
      </c>
      <c r="N21" s="47"/>
    </row>
    <row r="22" spans="1:14" ht="15" thickBot="1" x14ac:dyDescent="0.35">
      <c r="A22" t="s">
        <v>54</v>
      </c>
      <c r="B22" s="28">
        <v>41301</v>
      </c>
      <c r="C22" s="121">
        <v>6584</v>
      </c>
      <c r="D22" s="122">
        <f t="shared" si="0"/>
        <v>0.2</v>
      </c>
      <c r="E22" s="121">
        <f t="shared" si="1"/>
        <v>1316.8000000000002</v>
      </c>
      <c r="F22" s="123">
        <f t="shared" si="2"/>
        <v>7</v>
      </c>
      <c r="G22" s="124">
        <f t="shared" si="3"/>
        <v>4</v>
      </c>
      <c r="H22" s="47"/>
      <c r="I22" s="47"/>
      <c r="J22" s="47"/>
      <c r="K22" s="31"/>
      <c r="L22" s="35">
        <v>3</v>
      </c>
      <c r="M22" s="37">
        <f>SUMIF(G:G,L22,E:E)</f>
        <v>3444.6000000000004</v>
      </c>
      <c r="N22" s="47"/>
    </row>
    <row r="23" spans="1:14" ht="15" thickBot="1" x14ac:dyDescent="0.35">
      <c r="C23" s="47"/>
      <c r="D23" s="47"/>
      <c r="E23" s="47"/>
      <c r="F23" s="47"/>
      <c r="G23" s="47"/>
      <c r="H23" s="47"/>
      <c r="I23" s="47"/>
      <c r="J23" s="47"/>
      <c r="K23" s="32"/>
      <c r="L23" s="38">
        <v>4</v>
      </c>
      <c r="M23" s="33">
        <f>SUMIF(G:G,L23,E:E)</f>
        <v>8767.5</v>
      </c>
      <c r="N23" s="47"/>
    </row>
    <row r="24" spans="1:14" x14ac:dyDescent="0.3"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1:14" x14ac:dyDescent="0.3"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6" spans="1:14" x14ac:dyDescent="0.3">
      <c r="C26" s="47"/>
      <c r="D26" s="47"/>
      <c r="E26" s="47"/>
      <c r="F26" s="47"/>
      <c r="G26" s="47"/>
      <c r="H26" s="48"/>
      <c r="I26" s="48"/>
      <c r="J26" s="48"/>
      <c r="K26" s="47"/>
      <c r="L26" s="47"/>
      <c r="M26" s="47"/>
      <c r="N26" s="47"/>
    </row>
    <row r="27" spans="1:14" x14ac:dyDescent="0.3"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1:14" x14ac:dyDescent="0.3"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x14ac:dyDescent="0.3"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1:14" x14ac:dyDescent="0.3"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averageif</vt:lpstr>
      <vt:lpstr>sumifs</vt:lpstr>
      <vt:lpstr>convert</vt:lpstr>
      <vt:lpstr>if</vt:lpstr>
      <vt:lpstr>week_func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lastModifiedBy>lidiya</cp:lastModifiedBy>
  <dcterms:created xsi:type="dcterms:W3CDTF">2020-09-30T10:11:59Z</dcterms:created>
  <dcterms:modified xsi:type="dcterms:W3CDTF">2020-10-13T11:14:54Z</dcterms:modified>
</cp:coreProperties>
</file>