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diya\Desktop\excel_git\"/>
    </mc:Choice>
  </mc:AlternateContent>
  <bookViews>
    <workbookView xWindow="0" yWindow="0" windowWidth="16392" windowHeight="4872"/>
  </bookViews>
  <sheets>
    <sheet name="Input data" sheetId="1" r:id="rId1"/>
    <sheet name="Forecast sales" sheetId="5" r:id="rId2"/>
  </sheets>
  <definedNames>
    <definedName name="fDate">'Forecast sales'!$D$3</definedName>
    <definedName name="fDay">'Forecast sales'!$H$2</definedName>
    <definedName name="fMonth">'Forecast sales'!$G$2</definedName>
    <definedName name="ForecastDate">'Forecast sales'!$D$3</definedName>
    <definedName name="fYear">'Forecast sales'!$I$2</definedName>
    <definedName name="_xlnm.Print_Area" localSheetId="1">'Forecast sales'!$B$2:$J$43</definedName>
  </definedNames>
  <calcPr calcId="162913"/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7" i="1"/>
  <c r="B16" i="1"/>
  <c r="B15" i="1"/>
  <c r="B14" i="1"/>
  <c r="B13" i="1"/>
  <c r="B12" i="1"/>
  <c r="B8" i="1"/>
  <c r="B7" i="1"/>
  <c r="B6" i="1"/>
  <c r="B10" i="1"/>
  <c r="B11" i="1"/>
  <c r="B9" i="1"/>
  <c r="G16" i="1" l="1"/>
  <c r="B3" i="5" l="1"/>
  <c r="D3" i="5" l="1"/>
  <c r="J1" i="1" l="1"/>
  <c r="K8" i="1" l="1"/>
  <c r="K10" i="1"/>
  <c r="K14" i="1"/>
  <c r="B18" i="1"/>
  <c r="K18" i="1" s="1"/>
  <c r="K22" i="1"/>
  <c r="K9" i="1"/>
  <c r="K11" i="1"/>
  <c r="K16" i="1"/>
  <c r="K19" i="1"/>
  <c r="K23" i="1"/>
  <c r="K12" i="1"/>
  <c r="K13" i="1"/>
  <c r="K15" i="1"/>
  <c r="K17" i="1"/>
  <c r="K20" i="1"/>
  <c r="K21" i="1"/>
  <c r="K24" i="1"/>
  <c r="H6" i="1" l="1"/>
  <c r="I6" i="1" s="1"/>
  <c r="D8" i="5"/>
  <c r="D7" i="5"/>
  <c r="C7" i="5"/>
  <c r="C8" i="5"/>
  <c r="K6" i="1"/>
  <c r="L6" i="1"/>
  <c r="G8" i="5"/>
  <c r="C6" i="5"/>
  <c r="K7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H24" i="1"/>
  <c r="I24" i="1" s="1"/>
  <c r="J24" i="1"/>
  <c r="H23" i="1"/>
  <c r="I23" i="1" s="1"/>
  <c r="J23" i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21" i="1" l="1"/>
  <c r="I19" i="1"/>
  <c r="I17" i="1"/>
  <c r="I15" i="1"/>
  <c r="I13" i="1"/>
  <c r="I11" i="1"/>
  <c r="I9" i="1"/>
  <c r="I7" i="1"/>
  <c r="I22" i="1"/>
  <c r="I20" i="1"/>
  <c r="I18" i="1"/>
  <c r="I16" i="1"/>
  <c r="I14" i="1"/>
  <c r="I12" i="1"/>
  <c r="I10" i="1"/>
  <c r="I8" i="1"/>
  <c r="L19" i="1"/>
  <c r="C10" i="5"/>
  <c r="L13" i="1"/>
  <c r="N23" i="1"/>
  <c r="N6" i="1"/>
  <c r="N12" i="1"/>
  <c r="N22" i="1"/>
  <c r="G6" i="5"/>
  <c r="L8" i="1"/>
  <c r="N20" i="1"/>
  <c r="N15" i="1"/>
  <c r="L17" i="1"/>
  <c r="N16" i="1"/>
  <c r="L10" i="1"/>
  <c r="N8" i="1"/>
  <c r="N24" i="1"/>
  <c r="L11" i="1"/>
  <c r="N17" i="1"/>
  <c r="L9" i="1"/>
  <c r="L7" i="1"/>
  <c r="L18" i="1"/>
  <c r="L23" i="1"/>
  <c r="L15" i="1"/>
  <c r="L21" i="1"/>
  <c r="N13" i="1"/>
  <c r="N19" i="1"/>
  <c r="N9" i="1"/>
  <c r="L14" i="1"/>
  <c r="L16" i="1"/>
  <c r="L22" i="1"/>
  <c r="L20" i="1"/>
  <c r="N11" i="1"/>
  <c r="N21" i="1"/>
  <c r="G10" i="5"/>
  <c r="L12" i="1"/>
  <c r="N7" i="1"/>
  <c r="N18" i="1"/>
  <c r="L24" i="1"/>
  <c r="N14" i="1"/>
  <c r="N10" i="1"/>
  <c r="J6" i="1"/>
  <c r="H7" i="5"/>
  <c r="G7" i="5"/>
  <c r="H8" i="5"/>
  <c r="Q8" i="1" l="1"/>
  <c r="C11" i="5"/>
  <c r="I14" i="5"/>
  <c r="M8" i="1"/>
  <c r="M12" i="1"/>
  <c r="M16" i="1"/>
  <c r="M20" i="1"/>
  <c r="M11" i="1"/>
  <c r="M15" i="1"/>
  <c r="Q23" i="1"/>
  <c r="G9" i="5"/>
  <c r="J8" i="5"/>
  <c r="H9" i="5"/>
  <c r="G11" i="5"/>
  <c r="C9" i="5"/>
  <c r="O21" i="1"/>
  <c r="O9" i="1"/>
  <c r="O8" i="1"/>
  <c r="O19" i="1"/>
  <c r="O24" i="1"/>
  <c r="O22" i="1"/>
  <c r="O7" i="1"/>
  <c r="O13" i="1"/>
  <c r="O11" i="1"/>
  <c r="O17" i="1"/>
  <c r="O15" i="1"/>
  <c r="O6" i="1"/>
  <c r="D14" i="5"/>
  <c r="O20" i="1"/>
  <c r="O18" i="1"/>
  <c r="O23" i="1"/>
  <c r="O12" i="1"/>
  <c r="O10" i="1"/>
  <c r="O16" i="1"/>
  <c r="O14" i="1"/>
  <c r="E7" i="5"/>
  <c r="F7" i="5"/>
  <c r="E8" i="5"/>
  <c r="F8" i="5"/>
  <c r="D9" i="5"/>
  <c r="I8" i="5"/>
  <c r="M17" i="1"/>
  <c r="M22" i="1"/>
  <c r="M21" i="1"/>
  <c r="M13" i="1"/>
  <c r="M14" i="1"/>
  <c r="M23" i="1"/>
  <c r="M10" i="1"/>
  <c r="M24" i="1"/>
  <c r="M9" i="1"/>
  <c r="M18" i="1"/>
  <c r="M19" i="1"/>
  <c r="M6" i="1"/>
  <c r="M7" i="1"/>
  <c r="I7" i="5"/>
  <c r="J7" i="5"/>
  <c r="Q19" i="1"/>
  <c r="Q6" i="1"/>
  <c r="Q22" i="1"/>
  <c r="Q15" i="1"/>
  <c r="Q24" i="1"/>
  <c r="Q12" i="1"/>
  <c r="Q13" i="1"/>
  <c r="Q14" i="1"/>
  <c r="Q9" i="1"/>
  <c r="Q7" i="1"/>
  <c r="Q10" i="1"/>
  <c r="Q16" i="1"/>
  <c r="Q11" i="1"/>
  <c r="Q20" i="1"/>
  <c r="Q17" i="1"/>
  <c r="Q18" i="1"/>
  <c r="Q21" i="1"/>
  <c r="F9" i="5" l="1"/>
  <c r="P9" i="1"/>
  <c r="P15" i="1"/>
  <c r="P8" i="1"/>
  <c r="P23" i="1"/>
  <c r="J9" i="5"/>
  <c r="P21" i="1"/>
  <c r="P14" i="1"/>
  <c r="P24" i="1"/>
  <c r="P19" i="1"/>
  <c r="P16" i="1"/>
  <c r="P11" i="1"/>
  <c r="P12" i="1"/>
  <c r="P18" i="1"/>
  <c r="P17" i="1"/>
  <c r="P10" i="1"/>
  <c r="P20" i="1"/>
  <c r="P7" i="1"/>
  <c r="P13" i="1"/>
  <c r="P6" i="1"/>
  <c r="P22" i="1"/>
  <c r="F14" i="5"/>
</calcChain>
</file>

<file path=xl/sharedStrings.xml><?xml version="1.0" encoding="utf-8"?>
<sst xmlns="http://schemas.openxmlformats.org/spreadsheetml/2006/main" count="63" uniqueCount="49">
  <si>
    <t>Proseware, Inc.</t>
  </si>
  <si>
    <t>%</t>
  </si>
  <si>
    <t xml:space="preserve"> </t>
  </si>
  <si>
    <t>NewPoint</t>
  </si>
  <si>
    <t>Wolfram</t>
  </si>
  <si>
    <t>DATE</t>
  </si>
  <si>
    <t>COMPANY</t>
  </si>
  <si>
    <t>INVOICE VALUE</t>
  </si>
  <si>
    <t>PLANNED</t>
  </si>
  <si>
    <t>EXPENSES</t>
  </si>
  <si>
    <t>INCOME</t>
  </si>
  <si>
    <t>MONTH</t>
  </si>
  <si>
    <t>QUARTER</t>
  </si>
  <si>
    <t>YEAR</t>
  </si>
  <si>
    <t>MONTH NUMBER (HIDDEN)</t>
  </si>
  <si>
    <t>MONTH2</t>
  </si>
  <si>
    <t>QUARTER2</t>
  </si>
  <si>
    <t>YEAR2</t>
  </si>
  <si>
    <t>MONTH3</t>
  </si>
  <si>
    <t>QUARTER3</t>
  </si>
  <si>
    <t>YEAR3</t>
  </si>
  <si>
    <t>Monthly input data</t>
  </si>
  <si>
    <t>TO THIS MONTH</t>
  </si>
  <si>
    <t>Quantity</t>
  </si>
  <si>
    <t>Sales</t>
  </si>
  <si>
    <t>Income</t>
  </si>
  <si>
    <t>Difference (Margin)</t>
  </si>
  <si>
    <t>Number of orders</t>
  </si>
  <si>
    <t>Average invoiced value</t>
  </si>
  <si>
    <t>REALLY</t>
  </si>
  <si>
    <t>DIFFERENCE</t>
  </si>
  <si>
    <t>Monthly forecast sales</t>
  </si>
  <si>
    <t>FORECAST</t>
  </si>
  <si>
    <t>NEXT MONTH</t>
  </si>
  <si>
    <t>NEXT QUARTER</t>
  </si>
  <si>
    <t>NEXT YEAR</t>
  </si>
  <si>
    <t>ANNUAL FORECAST</t>
  </si>
  <si>
    <t>CASH FLOW</t>
  </si>
  <si>
    <t>QUARTERLY FORECAST</t>
  </si>
  <si>
    <t>MONTHLY FORECAST</t>
  </si>
  <si>
    <t>REAL</t>
  </si>
  <si>
    <t>CHRONOLOGY OF SALES</t>
  </si>
  <si>
    <t>LiouLD</t>
  </si>
  <si>
    <t>Animal Life</t>
  </si>
  <si>
    <t>Lolin LTD</t>
  </si>
  <si>
    <t>Travel group</t>
  </si>
  <si>
    <t>Trade Full</t>
  </si>
  <si>
    <t>AnimalPlanet</t>
  </si>
  <si>
    <t>Trade Compp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</si>
</sst>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&quot;$&quot;#,##0.00"/>
    <numFmt numFmtId="165" formatCode="mmmm"/>
    <numFmt numFmtId="166" formatCode="_-* #,##0.00\ [$€-1]_-;\-* #,##0.00\ [$€-1]_-;_-* &quot;-&quot;??\ [$€-1]_-;_-@_-"/>
    <numFmt numFmtId="167" formatCode="&quot;Quarter &quot;0"/>
  </numFmts>
  <fonts count="17"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22"/>
      <color theme="4"/>
      <name val="Arial"/>
      <family val="2"/>
      <scheme val="minor"/>
    </font>
    <font>
      <sz val="22"/>
      <color theme="3"/>
      <name val="Arial Black"/>
      <family val="2"/>
      <scheme val="major"/>
    </font>
    <font>
      <sz val="10"/>
      <color theme="5"/>
      <name val="Arial"/>
      <family val="2"/>
      <scheme val="minor"/>
    </font>
    <font>
      <b/>
      <sz val="10"/>
      <color theme="5"/>
      <name val="Arial"/>
      <family val="2"/>
      <scheme val="minor"/>
    </font>
    <font>
      <sz val="8"/>
      <color theme="3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8"/>
      <color theme="3"/>
      <name val="Arial"/>
      <family val="2"/>
      <scheme val="minor"/>
    </font>
    <font>
      <sz val="10"/>
      <color theme="0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sz val="8"/>
      <color theme="0"/>
      <name val="Arial"/>
      <family val="2"/>
      <scheme val="minor"/>
    </font>
    <font>
      <sz val="10"/>
      <color rgb="FF222222"/>
      <name val="Inherit"/>
    </font>
    <font>
      <b/>
      <sz val="10"/>
      <name val="Arial"/>
      <family val="2"/>
      <scheme val="minor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59996337778862885"/>
      </top>
      <bottom style="thin">
        <color theme="3" tint="0.79998168889431442"/>
      </bottom>
      <diagonal/>
    </border>
    <border>
      <left/>
      <right/>
      <top style="thin">
        <color theme="3" tint="0.59996337778862885"/>
      </top>
      <bottom/>
      <diagonal/>
    </border>
    <border>
      <left/>
      <right/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/>
    <xf numFmtId="0" fontId="5" fillId="0" borderId="0" applyNumberFormat="0" applyFill="0" applyProtection="0">
      <alignment vertical="center"/>
    </xf>
    <xf numFmtId="0" fontId="4" fillId="0" borderId="0" applyNumberFormat="0" applyFill="0" applyProtection="0">
      <alignment vertical="center"/>
    </xf>
    <xf numFmtId="0" fontId="6" fillId="0" borderId="0" applyNumberFormat="0" applyFill="0" applyBorder="0" applyAlignment="0" applyProtection="0"/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9" fillId="0" borderId="0" xfId="0" applyFont="1" applyAlignment="1">
      <alignment horizontal="left" vertical="center" wrapText="1"/>
    </xf>
    <xf numFmtId="0" fontId="3" fillId="2" borderId="0" xfId="1" applyNumberFormat="1" applyFont="1" applyFill="1" applyAlignment="1">
      <alignment horizontal="left" vertical="center"/>
    </xf>
    <xf numFmtId="0" fontId="8" fillId="0" borderId="2" xfId="1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0" fontId="8" fillId="0" borderId="2" xfId="0" applyNumberFormat="1" applyFont="1" applyBorder="1" applyAlignment="1">
      <alignment horizontal="left" vertical="center"/>
    </xf>
    <xf numFmtId="10" fontId="8" fillId="0" borderId="2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 vertical="center"/>
    </xf>
    <xf numFmtId="14" fontId="11" fillId="0" borderId="0" xfId="0" applyNumberFormat="1" applyFont="1" applyAlignment="1">
      <alignment horizontal="right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164" fontId="6" fillId="0" borderId="4" xfId="4" applyNumberFormat="1" applyBorder="1" applyAlignment="1">
      <alignment horizontal="left" vertical="center"/>
    </xf>
    <xf numFmtId="164" fontId="6" fillId="0" borderId="4" xfId="4" applyNumberFormat="1" applyBorder="1" applyAlignment="1">
      <alignment horizontal="right" vertical="center"/>
    </xf>
    <xf numFmtId="0" fontId="10" fillId="0" borderId="3" xfId="0" applyFont="1" applyBorder="1" applyAlignment="1">
      <alignment horizontal="left"/>
    </xf>
    <xf numFmtId="164" fontId="10" fillId="0" borderId="3" xfId="0" applyNumberFormat="1" applyFont="1" applyBorder="1" applyAlignment="1">
      <alignment horizontal="left"/>
    </xf>
    <xf numFmtId="0" fontId="10" fillId="0" borderId="3" xfId="0" applyFont="1" applyBorder="1" applyAlignment="1">
      <alignment horizontal="left" vertical="center"/>
    </xf>
    <xf numFmtId="0" fontId="6" fillId="0" borderId="4" xfId="4" applyBorder="1" applyAlignment="1">
      <alignment horizontal="left" vertical="center"/>
    </xf>
    <xf numFmtId="0" fontId="8" fillId="0" borderId="2" xfId="1" applyNumberFormat="1" applyFont="1" applyBorder="1" applyAlignment="1">
      <alignment horizontal="left" vertical="center" indent="1"/>
    </xf>
    <xf numFmtId="164" fontId="6" fillId="0" borderId="4" xfId="4" applyNumberFormat="1" applyBorder="1" applyAlignment="1">
      <alignment horizontal="left" vertical="center" indent="1"/>
    </xf>
    <xf numFmtId="0" fontId="7" fillId="0" borderId="4" xfId="4" applyFont="1" applyBorder="1" applyAlignment="1">
      <alignment horizontal="left"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166" fontId="9" fillId="0" borderId="0" xfId="0" applyNumberFormat="1" applyFont="1" applyAlignment="1">
      <alignment horizontal="left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5" fillId="0" borderId="0" xfId="4" applyFont="1" applyAlignment="1">
      <alignment vertical="center"/>
    </xf>
    <xf numFmtId="0" fontId="16" fillId="0" borderId="0" xfId="4" applyFont="1" applyAlignment="1">
      <alignment vertical="center"/>
    </xf>
    <xf numFmtId="166" fontId="3" fillId="4" borderId="0" xfId="0" applyNumberFormat="1" applyFont="1" applyFill="1" applyAlignment="1">
      <alignment horizontal="left" vertical="center"/>
    </xf>
    <xf numFmtId="165" fontId="3" fillId="4" borderId="0" xfId="0" applyNumberFormat="1" applyFont="1" applyFill="1" applyAlignment="1">
      <alignment horizontal="left" vertical="center"/>
    </xf>
    <xf numFmtId="167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166" fontId="3" fillId="5" borderId="0" xfId="0" applyNumberFormat="1" applyFont="1" applyFill="1" applyAlignment="1">
      <alignment horizontal="left" vertical="center"/>
    </xf>
    <xf numFmtId="166" fontId="3" fillId="6" borderId="0" xfId="0" applyNumberFormat="1" applyFont="1" applyFill="1" applyAlignment="1">
      <alignment horizontal="left" vertical="center"/>
    </xf>
    <xf numFmtId="0" fontId="8" fillId="6" borderId="2" xfId="1" applyNumberFormat="1" applyFont="1" applyFill="1" applyBorder="1" applyAlignment="1">
      <alignment horizontal="left" vertical="center" indent="1"/>
    </xf>
    <xf numFmtId="164" fontId="8" fillId="6" borderId="1" xfId="0" applyNumberFormat="1" applyFont="1" applyFill="1" applyBorder="1" applyAlignment="1">
      <alignment horizontal="left" vertical="center" indent="1"/>
    </xf>
    <xf numFmtId="10" fontId="8" fillId="6" borderId="1" xfId="0" applyNumberFormat="1" applyFont="1" applyFill="1" applyBorder="1" applyAlignment="1">
      <alignment horizontal="left" vertical="center" indent="1"/>
    </xf>
    <xf numFmtId="0" fontId="8" fillId="6" borderId="1" xfId="0" applyFont="1" applyFill="1" applyBorder="1" applyAlignment="1">
      <alignment horizontal="left" vertical="center" indent="1"/>
    </xf>
    <xf numFmtId="10" fontId="8" fillId="6" borderId="1" xfId="0" applyNumberFormat="1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right" vertical="center"/>
    </xf>
  </cellXfs>
  <cellStyles count="5">
    <cellStyle name="Comma" xfId="1" builtinId="3"/>
    <cellStyle name="Heading 1" xfId="2" builtinId="16" customBuiltin="1"/>
    <cellStyle name="Heading 2" xfId="3" builtinId="17" customBuiltin="1"/>
    <cellStyle name="Heading 4" xfId="4" builtinId="19" customBuiltin="1"/>
    <cellStyle name="Normal" xfId="0" builtinId="0" customBuiltin="1"/>
  </cellStyles>
  <dxfs count="31">
    <dxf>
      <border>
        <left/>
        <right/>
        <top style="thin">
          <color theme="3" tint="0.79998168889431442"/>
        </top>
        <bottom/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numFmt numFmtId="166" formatCode="_-* #,##0.00\ [$€-1]_-;\-* #,##0.00\ [$€-1]_-;_-* &quot;-&quot;??\ [$€-1]_-;_-@_-"/>
      <fill>
        <patternFill patternType="solid">
          <fgColor indexed="64"/>
          <bgColor theme="5" tint="0.79998168889431442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numFmt numFmtId="166" formatCode="_-* #,##0.00\ [$€-1]_-;\-* #,##0.00\ [$€-1]_-;_-* &quot;-&quot;??\ [$€-1]_-;_-@_-"/>
      <fill>
        <patternFill patternType="solid">
          <fgColor indexed="64"/>
          <bgColor theme="5" tint="0.79998168889431442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numFmt numFmtId="166" formatCode="_-* #,##0.00\ [$€-1]_-;\-* #,##0.00\ [$€-1]_-;_-* &quot;-&quot;??\ [$€-1]_-;_-@_-"/>
      <fill>
        <patternFill patternType="solid">
          <fgColor indexed="64"/>
          <bgColor theme="5" tint="0.79998168889431442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numFmt numFmtId="166" formatCode="_-* #,##0.00\ [$€-1]_-;\-* #,##0.00\ [$€-1]_-;_-* &quot;-&quot;??\ [$€-1]_-;_-@_-"/>
      <fill>
        <patternFill patternType="solid">
          <fgColor indexed="64"/>
          <bgColor theme="5" tint="0.59999389629810485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numFmt numFmtId="166" formatCode="_-* #,##0.00\ [$€-1]_-;\-* #,##0.00\ [$€-1]_-;_-* &quot;-&quot;??\ [$€-1]_-;_-@_-"/>
      <fill>
        <patternFill patternType="solid">
          <fgColor indexed="64"/>
          <bgColor theme="5" tint="0.59999389629810485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numFmt numFmtId="166" formatCode="_-* #,##0.00\ [$€-1]_-;\-* #,##0.00\ [$€-1]_-;_-* &quot;-&quot;??\ [$€-1]_-;_-@_-"/>
      <fill>
        <patternFill patternType="solid">
          <fgColor indexed="64"/>
          <bgColor theme="5" tint="0.59999389629810485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rgb="FFFFC000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rgb="FFFFC000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rgb="FFFFC000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numFmt numFmtId="166" formatCode="_-* #,##0.00\ [$€-1]_-;\-* #,##0.00\ [$€-1]_-;_-* &quot;-&quot;??\ [$€-1]_-;_-@_-"/>
      <fill>
        <patternFill patternType="solid">
          <fgColor indexed="64"/>
          <bgColor rgb="FFFFC000"/>
        </patternFill>
      </fill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numFmt numFmtId="166" formatCode="_-* #,##0.00\ [$€-1]_-;\-* #,##0.00\ [$€-1]_-;_-* &quot;-&quot;??\ [$€-1]_-;_-@_-"/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numFmt numFmtId="166" formatCode="_-* #,##0.00\ [$€-1]_-;\-* #,##0.00\ [$€-1]_-;_-* &quot;-&quot;??\ [$€-1]_-;_-@_-"/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numFmt numFmtId="166" formatCode="_-* #,##0.00\ [$€-1]_-;\-* #,##0.00\ [$€-1]_-;_-* &quot;-&quot;??\ [$€-1]_-;_-@_-"/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numFmt numFmtId="168" formatCode="d/m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color theme="5"/>
      </font>
      <border diagonalUp="0" diagonalDown="0">
        <left/>
        <right/>
        <top/>
        <bottom style="thin">
          <color theme="3" tint="0.79998168889431442"/>
        </bottom>
        <vertical/>
        <horizontal/>
      </border>
    </dxf>
    <dxf>
      <font>
        <b val="0"/>
        <i val="0"/>
        <color theme="3"/>
      </font>
      <border diagonalUp="0" diagonalDown="0">
        <left/>
        <right/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  <border>
        <left style="thick">
          <color theme="0"/>
        </left>
      </border>
    </dxf>
    <dxf>
      <font>
        <b/>
        <i val="0"/>
        <color theme="0"/>
      </font>
      <fill>
        <patternFill>
          <bgColor theme="5"/>
        </patternFill>
      </fill>
      <border>
        <bottom style="thick">
          <color theme="0"/>
        </bottom>
      </border>
    </dxf>
    <dxf>
      <font>
        <b/>
        <i val="0"/>
      </font>
      <border>
        <bottom style="thin">
          <color theme="3" tint="0.79998168889431442"/>
        </bottom>
      </border>
    </dxf>
    <dxf>
      <font>
        <b/>
        <i val="0"/>
        <color theme="0"/>
      </font>
      <fill>
        <patternFill>
          <bgColor theme="4"/>
        </patternFill>
      </fill>
      <border>
        <left style="thick">
          <color theme="0"/>
        </left>
        <top style="thick">
          <color theme="0"/>
        </top>
        <bottom style="thick">
          <color theme="0"/>
        </bottom>
      </border>
    </dxf>
    <dxf>
      <font>
        <b/>
        <i val="0"/>
      </font>
      <border>
        <top style="thin">
          <color theme="3" tint="0.79995117038483843"/>
        </top>
        <bottom style="thin">
          <color theme="3" tint="0.79998168889431442"/>
        </bottom>
      </border>
    </dxf>
    <dxf>
      <font>
        <b/>
        <i val="0"/>
        <color theme="5"/>
      </font>
      <border>
        <bottom style="thin">
          <color theme="0" tint="-0.14996795556505021"/>
        </bottom>
      </border>
    </dxf>
    <dxf>
      <border>
        <bottom style="thin">
          <color theme="0" tint="-0.14996795556505021"/>
        </bottom>
      </border>
    </dxf>
  </dxfs>
  <tableStyles count="2" defaultTableStyle="Monthly Sales Report Table Style" defaultPivotStyle="Monthly Sales Report PivotTable Style">
    <tableStyle name="Monthly Sales Report PivotTable Style" table="0" count="8">
      <tableStyleElement type="wholeTable" dxfId="30"/>
      <tableStyleElement type="headerRow" dxfId="29"/>
      <tableStyleElement type="totalRow" dxfId="28"/>
      <tableStyleElement type="secondSubtotalRow" dxfId="27"/>
      <tableStyleElement type="thirdSubtotalRow" dxfId="26"/>
      <tableStyleElement type="firstRowSubheading" dxfId="25"/>
      <tableStyleElement type="secondRowSubheading" dxfId="24"/>
      <tableStyleElement type="thirdRowSubheading" dxfId="23"/>
    </tableStyle>
    <tableStyle name="Monthly Sales Report Table Style" pivot="0" count="2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'Input data'!$D$5</c:f>
              <c:strCache>
                <c:ptCount val="1"/>
                <c:pt idx="0">
                  <c:v>INVOICE VALUE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'Input data'!$B$6:$B$31</c:f>
              <c:numCache>
                <c:formatCode>m/d/yyyy</c:formatCode>
                <c:ptCount val="26"/>
                <c:pt idx="0">
                  <c:v>43036</c:v>
                </c:pt>
                <c:pt idx="1">
                  <c:v>43046</c:v>
                </c:pt>
                <c:pt idx="2">
                  <c:v>43054</c:v>
                </c:pt>
                <c:pt idx="3">
                  <c:v>43062</c:v>
                </c:pt>
                <c:pt idx="4">
                  <c:v>43070</c:v>
                </c:pt>
                <c:pt idx="5">
                  <c:v>43078</c:v>
                </c:pt>
                <c:pt idx="6">
                  <c:v>43085</c:v>
                </c:pt>
                <c:pt idx="7">
                  <c:v>43092</c:v>
                </c:pt>
                <c:pt idx="8">
                  <c:v>43102</c:v>
                </c:pt>
                <c:pt idx="9">
                  <c:v>43110</c:v>
                </c:pt>
                <c:pt idx="10">
                  <c:v>43118</c:v>
                </c:pt>
                <c:pt idx="11">
                  <c:v>43126</c:v>
                </c:pt>
                <c:pt idx="12">
                  <c:v>42134</c:v>
                </c:pt>
                <c:pt idx="13">
                  <c:v>43144</c:v>
                </c:pt>
                <c:pt idx="14">
                  <c:v>43166</c:v>
                </c:pt>
                <c:pt idx="15">
                  <c:v>43174</c:v>
                </c:pt>
                <c:pt idx="16">
                  <c:v>43176</c:v>
                </c:pt>
                <c:pt idx="17">
                  <c:v>43210</c:v>
                </c:pt>
                <c:pt idx="18">
                  <c:v>43231</c:v>
                </c:pt>
              </c:numCache>
            </c:numRef>
          </c:cat>
          <c:val>
            <c:numRef>
              <c:f>'Input data'!$D$6:$D$31</c:f>
              <c:numCache>
                <c:formatCode>_-* #,##0.00\ [$€-1]_-;\-* #,##0.00\ [$€-1]_-;_-* "-"??\ [$€-1]_-;_-@_-</c:formatCode>
                <c:ptCount val="26"/>
                <c:pt idx="0">
                  <c:v>6400</c:v>
                </c:pt>
                <c:pt idx="1">
                  <c:v>8200</c:v>
                </c:pt>
                <c:pt idx="2">
                  <c:v>4400</c:v>
                </c:pt>
                <c:pt idx="3">
                  <c:v>5400</c:v>
                </c:pt>
                <c:pt idx="4">
                  <c:v>5800</c:v>
                </c:pt>
                <c:pt idx="5">
                  <c:v>6200</c:v>
                </c:pt>
                <c:pt idx="6">
                  <c:v>6900</c:v>
                </c:pt>
                <c:pt idx="7">
                  <c:v>7500</c:v>
                </c:pt>
                <c:pt idx="8">
                  <c:v>8700</c:v>
                </c:pt>
                <c:pt idx="9">
                  <c:v>8500</c:v>
                </c:pt>
                <c:pt idx="10">
                  <c:v>7900</c:v>
                </c:pt>
                <c:pt idx="11">
                  <c:v>9100</c:v>
                </c:pt>
                <c:pt idx="12">
                  <c:v>5600</c:v>
                </c:pt>
                <c:pt idx="13">
                  <c:v>9300</c:v>
                </c:pt>
                <c:pt idx="14">
                  <c:v>8800</c:v>
                </c:pt>
                <c:pt idx="15">
                  <c:v>9100</c:v>
                </c:pt>
                <c:pt idx="16">
                  <c:v>9000</c:v>
                </c:pt>
                <c:pt idx="17">
                  <c:v>7500</c:v>
                </c:pt>
                <c:pt idx="18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E-40FE-B22C-948200214647}"/>
            </c:ext>
          </c:extLst>
        </c:ser>
        <c:ser>
          <c:idx val="1"/>
          <c:order val="1"/>
          <c:tx>
            <c:strRef>
              <c:f>'Input data'!$E$5</c:f>
              <c:strCache>
                <c:ptCount val="1"/>
                <c:pt idx="0">
                  <c:v>PLANNED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'Input data'!$B$6:$B$31</c:f>
              <c:numCache>
                <c:formatCode>m/d/yyyy</c:formatCode>
                <c:ptCount val="26"/>
                <c:pt idx="0">
                  <c:v>43036</c:v>
                </c:pt>
                <c:pt idx="1">
                  <c:v>43046</c:v>
                </c:pt>
                <c:pt idx="2">
                  <c:v>43054</c:v>
                </c:pt>
                <c:pt idx="3">
                  <c:v>43062</c:v>
                </c:pt>
                <c:pt idx="4">
                  <c:v>43070</c:v>
                </c:pt>
                <c:pt idx="5">
                  <c:v>43078</c:v>
                </c:pt>
                <c:pt idx="6">
                  <c:v>43085</c:v>
                </c:pt>
                <c:pt idx="7">
                  <c:v>43092</c:v>
                </c:pt>
                <c:pt idx="8">
                  <c:v>43102</c:v>
                </c:pt>
                <c:pt idx="9">
                  <c:v>43110</c:v>
                </c:pt>
                <c:pt idx="10">
                  <c:v>43118</c:v>
                </c:pt>
                <c:pt idx="11">
                  <c:v>43126</c:v>
                </c:pt>
                <c:pt idx="12">
                  <c:v>42134</c:v>
                </c:pt>
                <c:pt idx="13">
                  <c:v>43144</c:v>
                </c:pt>
                <c:pt idx="14">
                  <c:v>43166</c:v>
                </c:pt>
                <c:pt idx="15">
                  <c:v>43174</c:v>
                </c:pt>
                <c:pt idx="16">
                  <c:v>43176</c:v>
                </c:pt>
                <c:pt idx="17">
                  <c:v>43210</c:v>
                </c:pt>
                <c:pt idx="18">
                  <c:v>43231</c:v>
                </c:pt>
              </c:numCache>
            </c:numRef>
          </c:cat>
          <c:val>
            <c:numRef>
              <c:f>'Input data'!$E$6:$E$31</c:f>
              <c:numCache>
                <c:formatCode>_-* #,##0.00\ [$€-1]_-;\-* #,##0.00\ [$€-1]_-;_-* "-"??\ [$€-1]_-;_-@_-</c:formatCode>
                <c:ptCount val="26"/>
                <c:pt idx="0">
                  <c:v>6200</c:v>
                </c:pt>
                <c:pt idx="1">
                  <c:v>8000</c:v>
                </c:pt>
                <c:pt idx="2">
                  <c:v>4200</c:v>
                </c:pt>
                <c:pt idx="3">
                  <c:v>5500</c:v>
                </c:pt>
                <c:pt idx="4">
                  <c:v>6000</c:v>
                </c:pt>
                <c:pt idx="5">
                  <c:v>5500</c:v>
                </c:pt>
                <c:pt idx="6">
                  <c:v>7500</c:v>
                </c:pt>
                <c:pt idx="7">
                  <c:v>7200</c:v>
                </c:pt>
                <c:pt idx="8">
                  <c:v>8500</c:v>
                </c:pt>
                <c:pt idx="9">
                  <c:v>8300</c:v>
                </c:pt>
                <c:pt idx="10">
                  <c:v>7700</c:v>
                </c:pt>
                <c:pt idx="11">
                  <c:v>8900</c:v>
                </c:pt>
                <c:pt idx="12">
                  <c:v>5800</c:v>
                </c:pt>
                <c:pt idx="13">
                  <c:v>9100</c:v>
                </c:pt>
                <c:pt idx="14">
                  <c:v>9350</c:v>
                </c:pt>
                <c:pt idx="15">
                  <c:v>9200</c:v>
                </c:pt>
                <c:pt idx="16">
                  <c:v>10000</c:v>
                </c:pt>
                <c:pt idx="17">
                  <c:v>8000</c:v>
                </c:pt>
                <c:pt idx="18">
                  <c:v>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E-40FE-B22C-948200214647}"/>
            </c:ext>
          </c:extLst>
        </c:ser>
        <c:ser>
          <c:idx val="2"/>
          <c:order val="2"/>
          <c:tx>
            <c:strRef>
              <c:f>'Input data'!$F$5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'Input data'!$B$6:$B$31</c:f>
              <c:numCache>
                <c:formatCode>m/d/yyyy</c:formatCode>
                <c:ptCount val="26"/>
                <c:pt idx="0">
                  <c:v>43036</c:v>
                </c:pt>
                <c:pt idx="1">
                  <c:v>43046</c:v>
                </c:pt>
                <c:pt idx="2">
                  <c:v>43054</c:v>
                </c:pt>
                <c:pt idx="3">
                  <c:v>43062</c:v>
                </c:pt>
                <c:pt idx="4">
                  <c:v>43070</c:v>
                </c:pt>
                <c:pt idx="5">
                  <c:v>43078</c:v>
                </c:pt>
                <c:pt idx="6">
                  <c:v>43085</c:v>
                </c:pt>
                <c:pt idx="7">
                  <c:v>43092</c:v>
                </c:pt>
                <c:pt idx="8">
                  <c:v>43102</c:v>
                </c:pt>
                <c:pt idx="9">
                  <c:v>43110</c:v>
                </c:pt>
                <c:pt idx="10">
                  <c:v>43118</c:v>
                </c:pt>
                <c:pt idx="11">
                  <c:v>43126</c:v>
                </c:pt>
                <c:pt idx="12">
                  <c:v>42134</c:v>
                </c:pt>
                <c:pt idx="13">
                  <c:v>43144</c:v>
                </c:pt>
                <c:pt idx="14">
                  <c:v>43166</c:v>
                </c:pt>
                <c:pt idx="15">
                  <c:v>43174</c:v>
                </c:pt>
                <c:pt idx="16">
                  <c:v>43176</c:v>
                </c:pt>
                <c:pt idx="17">
                  <c:v>43210</c:v>
                </c:pt>
                <c:pt idx="18">
                  <c:v>43231</c:v>
                </c:pt>
              </c:numCache>
            </c:numRef>
          </c:cat>
          <c:val>
            <c:numRef>
              <c:f>'Input data'!$F$6:$F$31</c:f>
              <c:numCache>
                <c:formatCode>_-* #,##0.00\ [$€-1]_-;\-* #,##0.00\ [$€-1]_-;_-* "-"??\ [$€-1]_-;_-@_-</c:formatCode>
                <c:ptCount val="26"/>
                <c:pt idx="0">
                  <c:v>4266</c:v>
                </c:pt>
                <c:pt idx="1">
                  <c:v>6748</c:v>
                </c:pt>
                <c:pt idx="2">
                  <c:v>2678</c:v>
                </c:pt>
                <c:pt idx="3">
                  <c:v>5637</c:v>
                </c:pt>
                <c:pt idx="4">
                  <c:v>8588</c:v>
                </c:pt>
                <c:pt idx="5">
                  <c:v>4532</c:v>
                </c:pt>
                <c:pt idx="6">
                  <c:v>7467</c:v>
                </c:pt>
                <c:pt idx="7">
                  <c:v>6789</c:v>
                </c:pt>
                <c:pt idx="8">
                  <c:v>7250</c:v>
                </c:pt>
                <c:pt idx="9">
                  <c:v>7457</c:v>
                </c:pt>
                <c:pt idx="10">
                  <c:v>5637</c:v>
                </c:pt>
                <c:pt idx="11">
                  <c:v>8758</c:v>
                </c:pt>
                <c:pt idx="12">
                  <c:v>4562</c:v>
                </c:pt>
                <c:pt idx="13">
                  <c:v>7648</c:v>
                </c:pt>
                <c:pt idx="14">
                  <c:v>8648</c:v>
                </c:pt>
                <c:pt idx="15">
                  <c:v>6848</c:v>
                </c:pt>
                <c:pt idx="16">
                  <c:v>8684</c:v>
                </c:pt>
                <c:pt idx="17">
                  <c:v>6748</c:v>
                </c:pt>
                <c:pt idx="18">
                  <c:v>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E-40FE-B22C-948200214647}"/>
            </c:ext>
          </c:extLst>
        </c:ser>
        <c:ser>
          <c:idx val="3"/>
          <c:order val="3"/>
          <c:tx>
            <c:strRef>
              <c:f>'Input data'!$G$5</c:f>
              <c:strCache>
                <c:ptCount val="1"/>
                <c:pt idx="0">
                  <c:v>INCOME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'Input data'!$B$6:$B$31</c:f>
              <c:numCache>
                <c:formatCode>m/d/yyyy</c:formatCode>
                <c:ptCount val="26"/>
                <c:pt idx="0">
                  <c:v>43036</c:v>
                </c:pt>
                <c:pt idx="1">
                  <c:v>43046</c:v>
                </c:pt>
                <c:pt idx="2">
                  <c:v>43054</c:v>
                </c:pt>
                <c:pt idx="3">
                  <c:v>43062</c:v>
                </c:pt>
                <c:pt idx="4">
                  <c:v>43070</c:v>
                </c:pt>
                <c:pt idx="5">
                  <c:v>43078</c:v>
                </c:pt>
                <c:pt idx="6">
                  <c:v>43085</c:v>
                </c:pt>
                <c:pt idx="7">
                  <c:v>43092</c:v>
                </c:pt>
                <c:pt idx="8">
                  <c:v>43102</c:v>
                </c:pt>
                <c:pt idx="9">
                  <c:v>43110</c:v>
                </c:pt>
                <c:pt idx="10">
                  <c:v>43118</c:v>
                </c:pt>
                <c:pt idx="11">
                  <c:v>43126</c:v>
                </c:pt>
                <c:pt idx="12">
                  <c:v>42134</c:v>
                </c:pt>
                <c:pt idx="13">
                  <c:v>43144</c:v>
                </c:pt>
                <c:pt idx="14">
                  <c:v>43166</c:v>
                </c:pt>
                <c:pt idx="15">
                  <c:v>43174</c:v>
                </c:pt>
                <c:pt idx="16">
                  <c:v>43176</c:v>
                </c:pt>
                <c:pt idx="17">
                  <c:v>43210</c:v>
                </c:pt>
                <c:pt idx="18">
                  <c:v>43231</c:v>
                </c:pt>
              </c:numCache>
            </c:numRef>
          </c:cat>
          <c:val>
            <c:numRef>
              <c:f>'Input data'!$G$6:$G$31</c:f>
              <c:numCache>
                <c:formatCode>_-* #,##0.00\ [$€-1]_-;\-* #,##0.00\ [$€-1]_-;_-* "-"??\ [$€-1]_-;_-@_-</c:formatCode>
                <c:ptCount val="26"/>
                <c:pt idx="0">
                  <c:v>2134</c:v>
                </c:pt>
                <c:pt idx="1">
                  <c:v>1452</c:v>
                </c:pt>
                <c:pt idx="2">
                  <c:v>1722</c:v>
                </c:pt>
                <c:pt idx="3">
                  <c:v>-237</c:v>
                </c:pt>
                <c:pt idx="4">
                  <c:v>-2788</c:v>
                </c:pt>
                <c:pt idx="5">
                  <c:v>1668</c:v>
                </c:pt>
                <c:pt idx="6">
                  <c:v>-567</c:v>
                </c:pt>
                <c:pt idx="7">
                  <c:v>711</c:v>
                </c:pt>
                <c:pt idx="8">
                  <c:v>1450</c:v>
                </c:pt>
                <c:pt idx="9">
                  <c:v>1043</c:v>
                </c:pt>
                <c:pt idx="10">
                  <c:v>2263</c:v>
                </c:pt>
                <c:pt idx="11">
                  <c:v>342</c:v>
                </c:pt>
                <c:pt idx="12">
                  <c:v>1038</c:v>
                </c:pt>
                <c:pt idx="13">
                  <c:v>1652</c:v>
                </c:pt>
                <c:pt idx="14">
                  <c:v>152</c:v>
                </c:pt>
                <c:pt idx="15">
                  <c:v>2252</c:v>
                </c:pt>
                <c:pt idx="16">
                  <c:v>316</c:v>
                </c:pt>
                <c:pt idx="17">
                  <c:v>752</c:v>
                </c:pt>
                <c:pt idx="18">
                  <c:v>-75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E-40FE-B22C-948200214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19208"/>
        <c:axId val="312615288"/>
      </c:lineChart>
      <c:dateAx>
        <c:axId val="312619208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12615288"/>
        <c:crosses val="autoZero"/>
        <c:auto val="1"/>
        <c:lblOffset val="100"/>
        <c:baseTimeUnit val="days"/>
        <c:majorUnit val="1"/>
        <c:majorTimeUnit val="months"/>
      </c:dateAx>
      <c:valAx>
        <c:axId val="312615288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_-* #,##0.00\ [$€-1]_-;\-* #,##0.00\ [$€-1]_-;_-* &quot;-&quot;??\ [$€-1]_-;_-@_-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126192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7669607428103742"/>
          <c:y val="4.8780519032404476E-2"/>
          <c:w val="0.3945391019670928"/>
          <c:h val="8.758460502171741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spc="50" baseline="0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'Input data'!$O$5</c:f>
              <c:strCache>
                <c:ptCount val="1"/>
                <c:pt idx="0">
                  <c:v>MONTH3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'Input data'!$B$6:$B$31</c:f>
              <c:numCache>
                <c:formatCode>m/d/yyyy</c:formatCode>
                <c:ptCount val="26"/>
                <c:pt idx="0">
                  <c:v>43036</c:v>
                </c:pt>
                <c:pt idx="1">
                  <c:v>43046</c:v>
                </c:pt>
                <c:pt idx="2">
                  <c:v>43054</c:v>
                </c:pt>
                <c:pt idx="3">
                  <c:v>43062</c:v>
                </c:pt>
                <c:pt idx="4">
                  <c:v>43070</c:v>
                </c:pt>
                <c:pt idx="5">
                  <c:v>43078</c:v>
                </c:pt>
                <c:pt idx="6">
                  <c:v>43085</c:v>
                </c:pt>
                <c:pt idx="7">
                  <c:v>43092</c:v>
                </c:pt>
                <c:pt idx="8">
                  <c:v>43102</c:v>
                </c:pt>
                <c:pt idx="9">
                  <c:v>43110</c:v>
                </c:pt>
                <c:pt idx="10">
                  <c:v>43118</c:v>
                </c:pt>
                <c:pt idx="11">
                  <c:v>43126</c:v>
                </c:pt>
                <c:pt idx="12">
                  <c:v>42134</c:v>
                </c:pt>
                <c:pt idx="13">
                  <c:v>43144</c:v>
                </c:pt>
                <c:pt idx="14">
                  <c:v>43166</c:v>
                </c:pt>
                <c:pt idx="15">
                  <c:v>43174</c:v>
                </c:pt>
                <c:pt idx="16">
                  <c:v>43176</c:v>
                </c:pt>
                <c:pt idx="17">
                  <c:v>43210</c:v>
                </c:pt>
                <c:pt idx="18">
                  <c:v>43231</c:v>
                </c:pt>
              </c:numCache>
            </c:numRef>
          </c:cat>
          <c:val>
            <c:numRef>
              <c:f>'Input data'!$O$6:$O$31</c:f>
              <c:numCache>
                <c:formatCode>_-* #,##0.00\ [$€-1]_-;\-* #,##0.00\ [$€-1]_-;_-* "-"??\ [$€-1]_-;_-@_-</c:formatCode>
                <c:ptCount val="26"/>
                <c:pt idx="0">
                  <c:v>6400</c:v>
                </c:pt>
                <c:pt idx="1">
                  <c:v>29600</c:v>
                </c:pt>
                <c:pt idx="2">
                  <c:v>29599.999999999985</c:v>
                </c:pt>
                <c:pt idx="3">
                  <c:v>29600.000000000015</c:v>
                </c:pt>
                <c:pt idx="4">
                  <c:v>37360</c:v>
                </c:pt>
                <c:pt idx="5">
                  <c:v>36682.352941176476</c:v>
                </c:pt>
                <c:pt idx="6">
                  <c:v>36400</c:v>
                </c:pt>
                <c:pt idx="7">
                  <c:v>36245.161290322576</c:v>
                </c:pt>
                <c:pt idx="8">
                  <c:v>29437.053571428572</c:v>
                </c:pt>
                <c:pt idx="9">
                  <c:v>31163.657013060765</c:v>
                </c:pt>
                <c:pt idx="10">
                  <c:v>31752.779893373958</c:v>
                </c:pt>
                <c:pt idx="11">
                  <c:v>32049.957032368948</c:v>
                </c:pt>
                <c:pt idx="12">
                  <c:v>25322.142121524201</c:v>
                </c:pt>
                <c:pt idx="13">
                  <c:v>25378.410078192876</c:v>
                </c:pt>
                <c:pt idx="14">
                  <c:v>24905.992292870906</c:v>
                </c:pt>
                <c:pt idx="15">
                  <c:v>25028.912742382272</c:v>
                </c:pt>
                <c:pt idx="16">
                  <c:v>25129.188934297388</c:v>
                </c:pt>
                <c:pt idx="17">
                  <c:v>23326.296566837107</c:v>
                </c:pt>
                <c:pt idx="18">
                  <c:v>22024.628099173555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8-43DE-97F2-6AE455CC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19992"/>
        <c:axId val="312620384"/>
      </c:lineChart>
      <c:dateAx>
        <c:axId val="312619992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312620384"/>
        <c:crosses val="autoZero"/>
        <c:auto val="1"/>
        <c:lblOffset val="100"/>
        <c:baseTimeUnit val="days"/>
        <c:majorUnit val="1"/>
        <c:majorTimeUnit val="months"/>
      </c:dateAx>
      <c:valAx>
        <c:axId val="312620384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_-* #,##0.00\ [$€-1]_-;\-* #,##0.00\ [$€-1]_-;_-* &quot;-&quot;??\ [$€-1]_-;_-@_-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126199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spc="50" baseline="0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'Input data'!$P$5</c:f>
              <c:strCache>
                <c:ptCount val="1"/>
                <c:pt idx="0">
                  <c:v>QUARTER3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'Input data'!$B$6:$B$31</c:f>
              <c:numCache>
                <c:formatCode>m/d/yyyy</c:formatCode>
                <c:ptCount val="26"/>
                <c:pt idx="0">
                  <c:v>43036</c:v>
                </c:pt>
                <c:pt idx="1">
                  <c:v>43046</c:v>
                </c:pt>
                <c:pt idx="2">
                  <c:v>43054</c:v>
                </c:pt>
                <c:pt idx="3">
                  <c:v>43062</c:v>
                </c:pt>
                <c:pt idx="4">
                  <c:v>43070</c:v>
                </c:pt>
                <c:pt idx="5">
                  <c:v>43078</c:v>
                </c:pt>
                <c:pt idx="6">
                  <c:v>43085</c:v>
                </c:pt>
                <c:pt idx="7">
                  <c:v>43092</c:v>
                </c:pt>
                <c:pt idx="8">
                  <c:v>43102</c:v>
                </c:pt>
                <c:pt idx="9">
                  <c:v>43110</c:v>
                </c:pt>
                <c:pt idx="10">
                  <c:v>43118</c:v>
                </c:pt>
                <c:pt idx="11">
                  <c:v>43126</c:v>
                </c:pt>
                <c:pt idx="12">
                  <c:v>42134</c:v>
                </c:pt>
                <c:pt idx="13">
                  <c:v>43144</c:v>
                </c:pt>
                <c:pt idx="14">
                  <c:v>43166</c:v>
                </c:pt>
                <c:pt idx="15">
                  <c:v>43174</c:v>
                </c:pt>
                <c:pt idx="16">
                  <c:v>43176</c:v>
                </c:pt>
                <c:pt idx="17">
                  <c:v>43210</c:v>
                </c:pt>
                <c:pt idx="18">
                  <c:v>43231</c:v>
                </c:pt>
              </c:numCache>
            </c:numRef>
          </c:cat>
          <c:val>
            <c:numRef>
              <c:f>'Input data'!$P$6:$P$31</c:f>
              <c:numCache>
                <c:formatCode>_-* #,##0.00\ [$€-1]_-;\-* #,##0.00\ [$€-1]_-;_-* "-"??\ [$€-1]_-;_-@_-</c:formatCode>
                <c:ptCount val="26"/>
                <c:pt idx="0">
                  <c:v>50800</c:v>
                </c:pt>
                <c:pt idx="1">
                  <c:v>50800</c:v>
                </c:pt>
                <c:pt idx="2">
                  <c:v>50800</c:v>
                </c:pt>
                <c:pt idx="3">
                  <c:v>50800</c:v>
                </c:pt>
                <c:pt idx="4">
                  <c:v>50800</c:v>
                </c:pt>
                <c:pt idx="5">
                  <c:v>50800</c:v>
                </c:pt>
                <c:pt idx="6">
                  <c:v>50800</c:v>
                </c:pt>
                <c:pt idx="7">
                  <c:v>50800</c:v>
                </c:pt>
                <c:pt idx="8">
                  <c:v>63866.666666666672</c:v>
                </c:pt>
                <c:pt idx="9">
                  <c:v>63866.666666666672</c:v>
                </c:pt>
                <c:pt idx="10">
                  <c:v>63866.666666666664</c:v>
                </c:pt>
                <c:pt idx="11">
                  <c:v>63866.666666666672</c:v>
                </c:pt>
                <c:pt idx="12">
                  <c:v>53017.283950617275</c:v>
                </c:pt>
                <c:pt idx="13">
                  <c:v>58436.272040302269</c:v>
                </c:pt>
                <c:pt idx="14">
                  <c:v>59155.744680851058</c:v>
                </c:pt>
                <c:pt idx="15">
                  <c:v>59681.767955801108</c:v>
                </c:pt>
                <c:pt idx="16">
                  <c:v>60083.116883116891</c:v>
                </c:pt>
                <c:pt idx="17">
                  <c:v>52204.878048780483</c:v>
                </c:pt>
                <c:pt idx="18">
                  <c:v>50344.827586206899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1-4054-BEF6-773F8FF36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16856"/>
        <c:axId val="312614112"/>
      </c:lineChart>
      <c:dateAx>
        <c:axId val="312616856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312614112"/>
        <c:crosses val="autoZero"/>
        <c:auto val="1"/>
        <c:lblOffset val="100"/>
        <c:baseTimeUnit val="days"/>
        <c:majorUnit val="1"/>
        <c:majorTimeUnit val="months"/>
      </c:dateAx>
      <c:valAx>
        <c:axId val="312614112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_-* #,##0.00\ [$€-1]_-;\-* #,##0.00\ [$€-1]_-;_-* &quot;-&quot;??\ [$€-1]_-;_-@_-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1261685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b="0" i="0" spc="50" baseline="0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'Input data'!$Q$5</c:f>
              <c:strCache>
                <c:ptCount val="1"/>
                <c:pt idx="0">
                  <c:v>YEAR3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'Input data'!$B$6:$B$31</c:f>
              <c:numCache>
                <c:formatCode>m/d/yyyy</c:formatCode>
                <c:ptCount val="26"/>
                <c:pt idx="0">
                  <c:v>43036</c:v>
                </c:pt>
                <c:pt idx="1">
                  <c:v>43046</c:v>
                </c:pt>
                <c:pt idx="2">
                  <c:v>43054</c:v>
                </c:pt>
                <c:pt idx="3">
                  <c:v>43062</c:v>
                </c:pt>
                <c:pt idx="4">
                  <c:v>43070</c:v>
                </c:pt>
                <c:pt idx="5">
                  <c:v>43078</c:v>
                </c:pt>
                <c:pt idx="6">
                  <c:v>43085</c:v>
                </c:pt>
                <c:pt idx="7">
                  <c:v>43092</c:v>
                </c:pt>
                <c:pt idx="8">
                  <c:v>43102</c:v>
                </c:pt>
                <c:pt idx="9">
                  <c:v>43110</c:v>
                </c:pt>
                <c:pt idx="10">
                  <c:v>43118</c:v>
                </c:pt>
                <c:pt idx="11">
                  <c:v>43126</c:v>
                </c:pt>
                <c:pt idx="12">
                  <c:v>42134</c:v>
                </c:pt>
                <c:pt idx="13">
                  <c:v>43144</c:v>
                </c:pt>
                <c:pt idx="14">
                  <c:v>43166</c:v>
                </c:pt>
                <c:pt idx="15">
                  <c:v>43174</c:v>
                </c:pt>
                <c:pt idx="16">
                  <c:v>43176</c:v>
                </c:pt>
                <c:pt idx="17">
                  <c:v>43210</c:v>
                </c:pt>
                <c:pt idx="18">
                  <c:v>43231</c:v>
                </c:pt>
              </c:numCache>
            </c:numRef>
          </c:cat>
          <c:val>
            <c:numRef>
              <c:f>'Input data'!$Q$6:$Q$31</c:f>
              <c:numCache>
                <c:formatCode>_-* #,##0.00\ [$€-1]_-;\-* #,##0.00\ [$€-1]_-;_-* "-"??\ [$€-1]_-;_-@_-</c:formatCode>
                <c:ptCount val="26"/>
                <c:pt idx="0">
                  <c:v>50800</c:v>
                </c:pt>
                <c:pt idx="1">
                  <c:v>50800</c:v>
                </c:pt>
                <c:pt idx="2">
                  <c:v>50800</c:v>
                </c:pt>
                <c:pt idx="3">
                  <c:v>50800</c:v>
                </c:pt>
                <c:pt idx="4">
                  <c:v>50800</c:v>
                </c:pt>
                <c:pt idx="5">
                  <c:v>50800</c:v>
                </c:pt>
                <c:pt idx="6">
                  <c:v>50800</c:v>
                </c:pt>
                <c:pt idx="7">
                  <c:v>50800</c:v>
                </c:pt>
                <c:pt idx="8">
                  <c:v>124000</c:v>
                </c:pt>
                <c:pt idx="9">
                  <c:v>124000</c:v>
                </c:pt>
                <c:pt idx="10">
                  <c:v>124000</c:v>
                </c:pt>
                <c:pt idx="11">
                  <c:v>124000</c:v>
                </c:pt>
                <c:pt idx="12">
                  <c:v>25400</c:v>
                </c:pt>
                <c:pt idx="13">
                  <c:v>112752.13675213605</c:v>
                </c:pt>
                <c:pt idx="14">
                  <c:v>113552.23880596459</c:v>
                </c:pt>
                <c:pt idx="15">
                  <c:v>114172.18543046713</c:v>
                </c:pt>
                <c:pt idx="16">
                  <c:v>114666.66666667163</c:v>
                </c:pt>
                <c:pt idx="17">
                  <c:v>115070.27027027309</c:v>
                </c:pt>
                <c:pt idx="18">
                  <c:v>115405.94059406221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F-424B-9BE4-DFB3CCA4F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75768"/>
        <c:axId val="362273416"/>
      </c:lineChart>
      <c:dateAx>
        <c:axId val="362275768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362273416"/>
        <c:crosses val="autoZero"/>
        <c:auto val="1"/>
        <c:lblOffset val="100"/>
        <c:baseTimeUnit val="days"/>
        <c:majorUnit val="1"/>
        <c:majorTimeUnit val="months"/>
      </c:dateAx>
      <c:valAx>
        <c:axId val="362273416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_-* #,##0.00\ [$€-1]_-;\-* #,##0.00\ [$€-1]_-;_-* &quot;-&quot;??\ [$€-1]_-;_-@_-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6227576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spc="60" baseline="0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'Input data'!$G$5</c:f>
              <c:strCache>
                <c:ptCount val="1"/>
                <c:pt idx="0">
                  <c:v>INCOME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'Input data'!$B$6:$B$31</c:f>
              <c:numCache>
                <c:formatCode>m/d/yyyy</c:formatCode>
                <c:ptCount val="26"/>
                <c:pt idx="0">
                  <c:v>43036</c:v>
                </c:pt>
                <c:pt idx="1">
                  <c:v>43046</c:v>
                </c:pt>
                <c:pt idx="2">
                  <c:v>43054</c:v>
                </c:pt>
                <c:pt idx="3">
                  <c:v>43062</c:v>
                </c:pt>
                <c:pt idx="4">
                  <c:v>43070</c:v>
                </c:pt>
                <c:pt idx="5">
                  <c:v>43078</c:v>
                </c:pt>
                <c:pt idx="6">
                  <c:v>43085</c:v>
                </c:pt>
                <c:pt idx="7">
                  <c:v>43092</c:v>
                </c:pt>
                <c:pt idx="8">
                  <c:v>43102</c:v>
                </c:pt>
                <c:pt idx="9">
                  <c:v>43110</c:v>
                </c:pt>
                <c:pt idx="10">
                  <c:v>43118</c:v>
                </c:pt>
                <c:pt idx="11">
                  <c:v>43126</c:v>
                </c:pt>
                <c:pt idx="12">
                  <c:v>42134</c:v>
                </c:pt>
                <c:pt idx="13">
                  <c:v>43144</c:v>
                </c:pt>
                <c:pt idx="14">
                  <c:v>43166</c:v>
                </c:pt>
                <c:pt idx="15">
                  <c:v>43174</c:v>
                </c:pt>
                <c:pt idx="16">
                  <c:v>43176</c:v>
                </c:pt>
                <c:pt idx="17">
                  <c:v>43210</c:v>
                </c:pt>
                <c:pt idx="18">
                  <c:v>43231</c:v>
                </c:pt>
              </c:numCache>
            </c:numRef>
          </c:cat>
          <c:val>
            <c:numRef>
              <c:f>'Input data'!$G$6:$G$31</c:f>
              <c:numCache>
                <c:formatCode>_-* #,##0.00\ [$€-1]_-;\-* #,##0.00\ [$€-1]_-;_-* "-"??\ [$€-1]_-;_-@_-</c:formatCode>
                <c:ptCount val="26"/>
                <c:pt idx="0">
                  <c:v>2134</c:v>
                </c:pt>
                <c:pt idx="1">
                  <c:v>1452</c:v>
                </c:pt>
                <c:pt idx="2">
                  <c:v>1722</c:v>
                </c:pt>
                <c:pt idx="3">
                  <c:v>-237</c:v>
                </c:pt>
                <c:pt idx="4">
                  <c:v>-2788</c:v>
                </c:pt>
                <c:pt idx="5">
                  <c:v>1668</c:v>
                </c:pt>
                <c:pt idx="6">
                  <c:v>-567</c:v>
                </c:pt>
                <c:pt idx="7">
                  <c:v>711</c:v>
                </c:pt>
                <c:pt idx="8">
                  <c:v>1450</c:v>
                </c:pt>
                <c:pt idx="9">
                  <c:v>1043</c:v>
                </c:pt>
                <c:pt idx="10">
                  <c:v>2263</c:v>
                </c:pt>
                <c:pt idx="11">
                  <c:v>342</c:v>
                </c:pt>
                <c:pt idx="12">
                  <c:v>1038</c:v>
                </c:pt>
                <c:pt idx="13">
                  <c:v>1652</c:v>
                </c:pt>
                <c:pt idx="14">
                  <c:v>152</c:v>
                </c:pt>
                <c:pt idx="15">
                  <c:v>2252</c:v>
                </c:pt>
                <c:pt idx="16">
                  <c:v>316</c:v>
                </c:pt>
                <c:pt idx="17">
                  <c:v>752</c:v>
                </c:pt>
                <c:pt idx="18">
                  <c:v>-75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C-4EE9-BE7E-035BEAF0F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75376"/>
        <c:axId val="362272240"/>
      </c:lineChart>
      <c:dateAx>
        <c:axId val="362275376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362272240"/>
        <c:crosses val="autoZero"/>
        <c:auto val="1"/>
        <c:lblOffset val="100"/>
        <c:baseTimeUnit val="days"/>
        <c:majorUnit val="1"/>
        <c:majorTimeUnit val="months"/>
      </c:dateAx>
      <c:valAx>
        <c:axId val="362272240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_-* #,##0.00\ [$€-1]_-;\-* #,##0.00\ [$€-1]_-;_-* &quot;-&quot;??\ [$€-1]_-;_-@_-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6227537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spc="50" baseline="0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Forecast sale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Input data'!A1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133351</xdr:rowOff>
    </xdr:from>
    <xdr:to>
      <xdr:col>9</xdr:col>
      <xdr:colOff>533401</xdr:colOff>
      <xdr:row>1</xdr:row>
      <xdr:rowOff>342901</xdr:rowOff>
    </xdr:to>
    <xdr:sp macro="" textlink="">
      <xdr:nvSpPr>
        <xdr:cNvPr id="3" name="Sales Forecast" descr="Click to view Sales Forecast sheet." title="Sales Forecast navigation button">
          <a:hlinkClick xmlns:r="http://schemas.openxmlformats.org/officeDocument/2006/relationships" r:id="rId1" tooltip="Click to view Sales Forecast sheet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753225" y="276226"/>
          <a:ext cx="1543051" cy="20955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Forecast</a:t>
          </a:r>
          <a:r>
            <a:rPr lang="en-US" sz="1000" baseline="0">
              <a:solidFill>
                <a:schemeClr val="bg1"/>
              </a:solidFill>
            </a:rPr>
            <a:t> sales</a:t>
          </a:r>
          <a:endParaRPr lang="en-US" sz="1000">
            <a:solidFill>
              <a:schemeClr val="bg1"/>
            </a:solidFill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106679</xdr:colOff>
      <xdr:row>15</xdr:row>
      <xdr:rowOff>287867</xdr:rowOff>
    </xdr:from>
    <xdr:to>
      <xdr:col>9</xdr:col>
      <xdr:colOff>556259</xdr:colOff>
      <xdr:row>28</xdr:row>
      <xdr:rowOff>635</xdr:rowOff>
    </xdr:to>
    <xdr:graphicFrame macro="">
      <xdr:nvGraphicFramePr>
        <xdr:cNvPr id="4" name="Sales History" descr="Sales history chart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30</xdr:row>
      <xdr:rowOff>9525</xdr:rowOff>
    </xdr:from>
    <xdr:to>
      <xdr:col>5</xdr:col>
      <xdr:colOff>141131</xdr:colOff>
      <xdr:row>35</xdr:row>
      <xdr:rowOff>92919</xdr:rowOff>
    </xdr:to>
    <xdr:graphicFrame macro="">
      <xdr:nvGraphicFramePr>
        <xdr:cNvPr id="5" name="Month Forecast" descr="Month forecast chart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195263</xdr:colOff>
      <xdr:row>30</xdr:row>
      <xdr:rowOff>9525</xdr:rowOff>
    </xdr:from>
    <xdr:to>
      <xdr:col>9</xdr:col>
      <xdr:colOff>871537</xdr:colOff>
      <xdr:row>35</xdr:row>
      <xdr:rowOff>92919</xdr:rowOff>
    </xdr:to>
    <xdr:graphicFrame macro="">
      <xdr:nvGraphicFramePr>
        <xdr:cNvPr id="6" name="Quarter Forecast" descr="Quarter forecast chart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38</xdr:row>
      <xdr:rowOff>9526</xdr:rowOff>
    </xdr:from>
    <xdr:to>
      <xdr:col>5</xdr:col>
      <xdr:colOff>141131</xdr:colOff>
      <xdr:row>43</xdr:row>
      <xdr:rowOff>57151</xdr:rowOff>
    </xdr:to>
    <xdr:graphicFrame macro="">
      <xdr:nvGraphicFramePr>
        <xdr:cNvPr id="7" name="Year Forecast" descr="Year forecast chart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198491</xdr:colOff>
      <xdr:row>38</xdr:row>
      <xdr:rowOff>9526</xdr:rowOff>
    </xdr:from>
    <xdr:to>
      <xdr:col>9</xdr:col>
      <xdr:colOff>874765</xdr:colOff>
      <xdr:row>43</xdr:row>
      <xdr:rowOff>64345</xdr:rowOff>
    </xdr:to>
    <xdr:graphicFrame macro="">
      <xdr:nvGraphicFramePr>
        <xdr:cNvPr id="8" name="Revenue Stream" descr="Revenue stream chart" title="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695325</xdr:colOff>
      <xdr:row>1</xdr:row>
      <xdr:rowOff>133350</xdr:rowOff>
    </xdr:from>
    <xdr:to>
      <xdr:col>8</xdr:col>
      <xdr:colOff>125349</xdr:colOff>
      <xdr:row>1</xdr:row>
      <xdr:rowOff>371476</xdr:rowOff>
    </xdr:to>
    <xdr:sp macro="" textlink="">
      <xdr:nvSpPr>
        <xdr:cNvPr id="10" name="Sales Report" descr="Click to view Data Entry sheet." title="Data Entry navigation button">
          <a:hlinkClick xmlns:r="http://schemas.openxmlformats.org/officeDocument/2006/relationships" r:id="rId6" tooltip="Click to view Data Entry sheet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781675" y="276225"/>
          <a:ext cx="1258824" cy="23812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  <a:latin typeface="+mn-lt"/>
            </a:rPr>
            <a:t>Input</a:t>
          </a:r>
          <a:r>
            <a:rPr lang="en-US" sz="1000" baseline="0">
              <a:solidFill>
                <a:schemeClr val="bg1"/>
              </a:solidFill>
              <a:latin typeface="+mn-lt"/>
            </a:rPr>
            <a:t> data</a:t>
          </a:r>
          <a:endParaRPr lang="en-US" sz="1000">
            <a:solidFill>
              <a:schemeClr val="bg1"/>
            </a:solidFill>
            <a:latin typeface="+mn-lt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tblData" displayName="tblData" ref="B5:Q24" totalsRowShown="0" headerRowDxfId="20" dataDxfId="19" headerRowCellStyle="Heading 4">
  <autoFilter ref="B5:Q24"/>
  <tableColumns count="16">
    <tableColumn id="1" name="DATE" dataDxfId="18"/>
    <tableColumn id="2" name="COMPANY" dataDxfId="17"/>
    <tableColumn id="3" name="INVOICE VALUE" dataDxfId="16"/>
    <tableColumn id="4" name="PLANNED" dataDxfId="15"/>
    <tableColumn id="5" name="EXPENSES" dataDxfId="14"/>
    <tableColumn id="16" name="INCOME" dataDxfId="13">
      <calculatedColumnFormula>tblData[[#This Row],[INVOICE VALUE]]-tblData[[#This Row],[EXPENSES]]</calculatedColumnFormula>
    </tableColumn>
    <tableColumn id="6" name="MONTH" dataDxfId="12">
      <calculatedColumnFormula>DATE(YEAR('Input data'!$B6),MONTH('Input data'!$B6),1)</calculatedColumnFormula>
    </tableColumn>
    <tableColumn id="7" name="QUARTER" dataDxfId="11">
      <calculatedColumnFormula>LOOKUP(MONTH('Input data'!$H6),{1,1;2,1;3,1;4,2;5,2;6,2;7,3;8,3;9,3;10,4;11,4;12,4})</calculatedColumnFormula>
    </tableColumn>
    <tableColumn id="8" name="YEAR" dataDxfId="10">
      <calculatedColumnFormula>YEAR('Input data'!$B6)</calculatedColumnFormula>
    </tableColumn>
    <tableColumn id="12" name="MONTH NUMBER (HIDDEN)" dataDxfId="9">
      <calculatedColumnFormula>MONTH(tblData[[#This Row],[DATE]])</calculatedColumnFormula>
    </tableColumn>
    <tableColumn id="9" name="MONTH2" dataDxfId="8">
      <calculatedColumnFormula>SUMIFS(tblData[INVOICE VALUE],tblData[DATE],"&gt;="&amp;EOMONTH(tblData[[#This Row],[DATE]],-1)+1,tblData[DATE],"&lt;="&amp;EOMONTH(tblData[[#This Row],[DATE]],0))</calculatedColumnFormula>
    </tableColumn>
    <tableColumn id="10" name="QUARTER2" dataDxfId="7">
      <calculatedColumnFormula>SUMIFS(tblData[INVOICE VALUE],tblData[DATE],"&gt;="&amp;DATE(YEAR(tblData[[#This Row],[DATE]]),1,1),tblData[DATE],"&lt;="&amp;DATE(YEAR(tblData[[#This Row],[DATE]]),12,31),tblData[QUARTER],tblData[[#This Row],[QUARTER]])</calculatedColumnFormula>
    </tableColumn>
    <tableColumn id="11" name="YEAR2" dataDxfId="6">
      <calculatedColumnFormula>SUMIFS(tblData[INVOICE VALUE],tblData[DATE],"&gt;="&amp;DATE(YEAR(tblData[[#This Row],[DATE]]),1,1),tblData[DATE],"&lt;="&amp;DATE(YEAR(tblData[[#This Row],[DATE]]),12,31))</calculatedColumnFormula>
    </tableColumn>
    <tableColumn id="13" name="MONTH3" dataDxfId="5">
      <calculatedColumnFormula>IFERROR(TREND($L$6:INDEX($L:$L,ROW(),1),$K$6:INDEX($K:$K,ROW(),1),IF(MONTH(tblData[[#This Row],[DATE]])=12,13,MONTH(tblData[[#This Row],[DATE]])+1)),"")</calculatedColumnFormula>
    </tableColumn>
    <tableColumn id="14" name="QUARTER3" dataDxfId="4">
      <calculatedColumnFormula>IFERROR(TREND($M$6:INDEX($M:$M,ROW(),1),$I$6:INDEX($I:$I,ROW(),1),IF(tblData[[#This Row],[QUARTER]]=4,5,tblData[[#This Row],[QUARTER]]+1)),"")</calculatedColumnFormula>
    </tableColumn>
    <tableColumn id="15" name="YEAR3" dataDxfId="3">
      <calculatedColumnFormula>IFERROR(TREND($N$6:INDEX($N:$N,ROW(),1),$J$6:INDEX($J:$J,ROW(),1),tblData[[#This Row],[YEAR]]+1),"")</calculatedColumnFormula>
    </tableColumn>
  </tableColumns>
  <tableStyleInfo name="TableStyleLight10" showFirstColumn="0" showLastColumn="0" showRowStripes="0" showColumnStripes="0"/>
  <extLst>
    <ext xmlns:x14="http://schemas.microsoft.com/office/spreadsheetml/2009/9/main" uri="{504A1905-F514-4f6f-8877-14C23A59335A}">
      <x14:table altText="Monthly Data Entry Table" altTextSummary="Enter monthly data in this table such as Date, Company, Amount, Planned, Cost, Revenue, Month, Quarter, and Year. Current and forecasted data will be calculated for you."/>
    </ext>
  </extLst>
</table>
</file>

<file path=xl/theme/theme1.xml><?xml version="1.0" encoding="utf-8"?>
<a:theme xmlns:a="http://schemas.openxmlformats.org/drawingml/2006/main" name="Office Theme">
  <a:themeElements>
    <a:clrScheme name="Monthly Sales Report">
      <a:dk1>
        <a:srgbClr val="000000"/>
      </a:dk1>
      <a:lt1>
        <a:srgbClr val="FFFFFF"/>
      </a:lt1>
      <a:dk2>
        <a:srgbClr val="4E4F4B"/>
      </a:dk2>
      <a:lt2>
        <a:srgbClr val="EAEBEA"/>
      </a:lt2>
      <a:accent1>
        <a:srgbClr val="83BA96"/>
      </a:accent1>
      <a:accent2>
        <a:srgbClr val="D18A4E"/>
      </a:accent2>
      <a:accent3>
        <a:srgbClr val="977974"/>
      </a:accent3>
      <a:accent4>
        <a:srgbClr val="CFA94E"/>
      </a:accent4>
      <a:accent5>
        <a:srgbClr val="7596A9"/>
      </a:accent5>
      <a:accent6>
        <a:srgbClr val="A46675"/>
      </a:accent6>
      <a:hlink>
        <a:srgbClr val="7596A9"/>
      </a:hlink>
      <a:folHlink>
        <a:srgbClr val="A46675"/>
      </a:folHlink>
    </a:clrScheme>
    <a:fontScheme name="Monthly Sales Repor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Q24"/>
  <sheetViews>
    <sheetView showGridLines="0" tabSelected="1" topLeftCell="A10" zoomScaleNormal="100" workbookViewId="0">
      <selection activeCell="H17" sqref="H17"/>
    </sheetView>
  </sheetViews>
  <sheetFormatPr defaultColWidth="9.28515625" defaultRowHeight="17.25" customHeight="1"/>
  <cols>
    <col min="1" max="1" width="2" customWidth="1"/>
    <col min="2" max="2" width="10.7109375" customWidth="1"/>
    <col min="3" max="3" width="19.28515625" bestFit="1" customWidth="1"/>
    <col min="4" max="4" width="21.85546875" customWidth="1"/>
    <col min="5" max="5" width="17.7109375" bestFit="1" customWidth="1"/>
    <col min="6" max="6" width="14" bestFit="1" customWidth="1"/>
    <col min="7" max="7" width="14.140625" bestFit="1" customWidth="1"/>
    <col min="8" max="8" width="12.7109375" customWidth="1"/>
    <col min="9" max="9" width="15.42578125" customWidth="1"/>
    <col min="10" max="10" width="11.140625" customWidth="1"/>
    <col min="11" max="11" width="7.140625" customWidth="1"/>
    <col min="12" max="12" width="14.28515625" customWidth="1"/>
    <col min="13" max="13" width="16.5703125" customWidth="1"/>
    <col min="14" max="14" width="13.42578125" customWidth="1"/>
    <col min="15" max="15" width="14.140625" customWidth="1"/>
    <col min="16" max="16" width="16.7109375" customWidth="1"/>
    <col min="17" max="17" width="12.85546875" customWidth="1"/>
  </cols>
  <sheetData>
    <row r="1" spans="2:17" ht="11.25" customHeight="1">
      <c r="J1" s="28">
        <f>365*2</f>
        <v>730</v>
      </c>
    </row>
    <row r="2" spans="2:17" ht="33.75" customHeight="1">
      <c r="B2" s="25" t="s">
        <v>21</v>
      </c>
    </row>
    <row r="3" spans="2:17" ht="24" customHeight="1">
      <c r="B3" s="25"/>
    </row>
    <row r="4" spans="2:17" ht="11.25" customHeight="1">
      <c r="L4" s="13"/>
      <c r="M4" s="14"/>
      <c r="N4" s="15"/>
      <c r="O4" s="13"/>
      <c r="P4" s="14"/>
      <c r="Q4" s="15"/>
    </row>
    <row r="5" spans="2:17" ht="17.25" customHeight="1">
      <c r="B5" s="31" t="s">
        <v>5</v>
      </c>
      <c r="C5" s="31" t="s">
        <v>6</v>
      </c>
      <c r="D5" s="32" t="s">
        <v>7</v>
      </c>
      <c r="E5" s="32" t="s">
        <v>8</v>
      </c>
      <c r="F5" s="32" t="s">
        <v>9</v>
      </c>
      <c r="G5" s="32" t="s">
        <v>10</v>
      </c>
      <c r="H5" s="32" t="s">
        <v>11</v>
      </c>
      <c r="I5" s="32" t="s">
        <v>12</v>
      </c>
      <c r="J5" s="32" t="s">
        <v>13</v>
      </c>
      <c r="K5" s="32" t="s">
        <v>14</v>
      </c>
      <c r="L5" s="32" t="s">
        <v>15</v>
      </c>
      <c r="M5" s="32" t="s">
        <v>16</v>
      </c>
      <c r="N5" s="32" t="s">
        <v>17</v>
      </c>
      <c r="O5" s="32" t="s">
        <v>18</v>
      </c>
      <c r="P5" s="32" t="s">
        <v>19</v>
      </c>
      <c r="Q5" s="32" t="s">
        <v>20</v>
      </c>
    </row>
    <row r="6" spans="2:17" ht="17.25" customHeight="1">
      <c r="B6" s="26">
        <f>42306+J1</f>
        <v>43036</v>
      </c>
      <c r="C6" s="2" t="s">
        <v>44</v>
      </c>
      <c r="D6" s="27">
        <v>6400</v>
      </c>
      <c r="E6" s="27">
        <v>6200</v>
      </c>
      <c r="F6" s="27">
        <v>4266</v>
      </c>
      <c r="G6" s="33">
        <f>tblData[[#This Row],[INVOICE VALUE]]-tblData[[#This Row],[EXPENSES]]</f>
        <v>2134</v>
      </c>
      <c r="H6" s="34">
        <f>DATE(YEAR('Input data'!$B6),MONTH('Input data'!$B6),1)</f>
        <v>43009</v>
      </c>
      <c r="I6" s="35">
        <f>LOOKUP(MONTH('Input data'!$H6),{1,1;2,1;3,1;4,2;5,2;6,2;7,3;8,3;9,3;10,4;11,4;12,4})</f>
        <v>4</v>
      </c>
      <c r="J6" s="36">
        <f>YEAR('Input data'!$B6)</f>
        <v>2017</v>
      </c>
      <c r="K6" s="3">
        <f>MONTH(tblData[[#This Row],[DATE]])</f>
        <v>10</v>
      </c>
      <c r="L6" s="37">
        <f>SUMIFS(tblData[INVOICE VALUE],tblData[DATE],"&gt;="&amp;EOMONTH(tblData[[#This Row],[DATE]],-1)+1,tblData[DATE],"&lt;="&amp;EOMONTH(tblData[[#This Row],[DATE]],0))</f>
        <v>6400</v>
      </c>
      <c r="M6" s="37">
        <f>SUMIFS(tblData[INVOICE VALUE],tblData[DATE],"&gt;="&amp;DATE(YEAR(tblData[[#This Row],[DATE]]),1,1),tblData[DATE],"&lt;="&amp;DATE(YEAR(tblData[[#This Row],[DATE]]),12,31),tblData[QUARTER],tblData[[#This Row],[QUARTER]])</f>
        <v>50800</v>
      </c>
      <c r="N6" s="37">
        <f>SUMIFS(tblData[INVOICE VALUE],tblData[DATE],"&gt;="&amp;DATE(YEAR(tblData[[#This Row],[DATE]]),1,1),tblData[DATE],"&lt;="&amp;DATE(YEAR(tblData[[#This Row],[DATE]]),12,31))</f>
        <v>50800</v>
      </c>
      <c r="O6" s="38">
        <f>IFERROR(TREND($L$6:INDEX($L:$L,ROW(),1),$K$6:INDEX($K:$K,ROW(),1),IF(MONTH(tblData[[#This Row],[DATE]])=12,13,MONTH(tblData[[#This Row],[DATE]])+1)),"")</f>
        <v>6400</v>
      </c>
      <c r="P6" s="38">
        <f>IFERROR(TREND($M$6:INDEX($M:$M,ROW(),1),$I$6:INDEX($I:$I,ROW(),1),IF(tblData[[#This Row],[QUARTER]]=4,5,tblData[[#This Row],[QUARTER]]+1)),"")</f>
        <v>50800</v>
      </c>
      <c r="Q6" s="38">
        <f>IFERROR(TREND($N$6:INDEX($N:$N,ROW(),1),$J$6:INDEX($J:$J,ROW(),1),tblData[[#This Row],[YEAR]]+1),"")</f>
        <v>50800</v>
      </c>
    </row>
    <row r="7" spans="2:17" ht="17.25" customHeight="1">
      <c r="B7" s="26">
        <f>42316+J1</f>
        <v>43046</v>
      </c>
      <c r="C7" s="2" t="s">
        <v>45</v>
      </c>
      <c r="D7" s="27">
        <v>8200</v>
      </c>
      <c r="E7" s="27">
        <v>8000</v>
      </c>
      <c r="F7" s="27">
        <v>6748</v>
      </c>
      <c r="G7" s="33">
        <f>tblData[[#This Row],[INVOICE VALUE]]-tblData[[#This Row],[EXPENSES]]</f>
        <v>1452</v>
      </c>
      <c r="H7" s="34">
        <f>DATE(YEAR('Input data'!$B7),MONTH('Input data'!$B7),1)</f>
        <v>43040</v>
      </c>
      <c r="I7" s="35">
        <f>LOOKUP(MONTH('Input data'!$H7),{1,1;2,1;3,1;4,2;5,2;6,2;7,3;8,3;9,3;10,4;11,4;12,4})</f>
        <v>4</v>
      </c>
      <c r="J7" s="36">
        <f>YEAR('Input data'!$B7)</f>
        <v>2017</v>
      </c>
      <c r="K7" s="3">
        <f>MONTH(tblData[[#This Row],[DATE]])</f>
        <v>11</v>
      </c>
      <c r="L7" s="37">
        <f>SUMIFS(tblData[INVOICE VALUE],tblData[DATE],"&gt;="&amp;EOMONTH(tblData[[#This Row],[DATE]],-1)+1,tblData[DATE],"&lt;="&amp;EOMONTH(tblData[[#This Row],[DATE]],0))</f>
        <v>18000</v>
      </c>
      <c r="M7" s="37">
        <f>SUMIFS(tblData[INVOICE VALUE],tblData[DATE],"&gt;="&amp;DATE(YEAR(tblData[[#This Row],[DATE]]),1,1),tblData[DATE],"&lt;="&amp;DATE(YEAR(tblData[[#This Row],[DATE]]),12,31),tblData[QUARTER],tblData[[#This Row],[QUARTER]])</f>
        <v>50800</v>
      </c>
      <c r="N7" s="37">
        <f>SUMIFS(tblData[INVOICE VALUE],tblData[DATE],"&gt;="&amp;DATE(YEAR(tblData[[#This Row],[DATE]]),1,1),tblData[DATE],"&lt;="&amp;DATE(YEAR(tblData[[#This Row],[DATE]]),12,31))</f>
        <v>50800</v>
      </c>
      <c r="O7" s="38">
        <f>IFERROR(TREND($L$6:INDEX($L:$L,ROW(),1),$K$6:INDEX($K:$K,ROW(),1),IF(MONTH(tblData[[#This Row],[DATE]])=12,13,MONTH(tblData[[#This Row],[DATE]])+1)),"")</f>
        <v>29600</v>
      </c>
      <c r="P7" s="38">
        <f>IFERROR(TREND($M$6:INDEX($M:$M,ROW(),1),$I$6:INDEX($I:$I,ROW(),1),IF(tblData[[#This Row],[QUARTER]]=4,5,tblData[[#This Row],[QUARTER]]+1)),"")</f>
        <v>50800</v>
      </c>
      <c r="Q7" s="38">
        <f>IFERROR(TREND($N$6:INDEX($N:$N,ROW(),1),$J$6:INDEX($J:$J,ROW(),1),tblData[[#This Row],[YEAR]]+1),"")</f>
        <v>50800</v>
      </c>
    </row>
    <row r="8" spans="2:17" ht="17.25" customHeight="1">
      <c r="B8" s="26">
        <f>42324+J1</f>
        <v>43054</v>
      </c>
      <c r="C8" s="2" t="s">
        <v>48</v>
      </c>
      <c r="D8" s="27">
        <v>4400</v>
      </c>
      <c r="E8" s="27">
        <v>4200</v>
      </c>
      <c r="F8" s="27">
        <v>2678</v>
      </c>
      <c r="G8" s="33">
        <f>tblData[[#This Row],[INVOICE VALUE]]-tblData[[#This Row],[EXPENSES]]</f>
        <v>1722</v>
      </c>
      <c r="H8" s="34">
        <f>DATE(YEAR('Input data'!$B8),MONTH('Input data'!$B8),1)</f>
        <v>43040</v>
      </c>
      <c r="I8" s="35">
        <f>LOOKUP(MONTH('Input data'!$H8),{1,1;2,1;3,1;4,2;5,2;6,2;7,3;8,3;9,3;10,4;11,4;12,4})</f>
        <v>4</v>
      </c>
      <c r="J8" s="36">
        <f>YEAR('Input data'!$B8)</f>
        <v>2017</v>
      </c>
      <c r="K8" s="3">
        <f>MONTH(tblData[[#This Row],[DATE]])</f>
        <v>11</v>
      </c>
      <c r="L8" s="37">
        <f>SUMIFS(tblData[INVOICE VALUE],tblData[DATE],"&gt;="&amp;EOMONTH(tblData[[#This Row],[DATE]],-1)+1,tblData[DATE],"&lt;="&amp;EOMONTH(tblData[[#This Row],[DATE]],0))</f>
        <v>18000</v>
      </c>
      <c r="M8" s="37">
        <f>SUMIFS(tblData[INVOICE VALUE],tblData[DATE],"&gt;="&amp;DATE(YEAR(tblData[[#This Row],[DATE]]),1,1),tblData[DATE],"&lt;="&amp;DATE(YEAR(tblData[[#This Row],[DATE]]),12,31),tblData[QUARTER],tblData[[#This Row],[QUARTER]])</f>
        <v>50800</v>
      </c>
      <c r="N8" s="37">
        <f>SUMIFS(tblData[INVOICE VALUE],tblData[DATE],"&gt;="&amp;DATE(YEAR(tblData[[#This Row],[DATE]]),1,1),tblData[DATE],"&lt;="&amp;DATE(YEAR(tblData[[#This Row],[DATE]]),12,31))</f>
        <v>50800</v>
      </c>
      <c r="O8" s="38">
        <f>IFERROR(TREND($L$6:INDEX($L:$L,ROW(),1),$K$6:INDEX($K:$K,ROW(),1),IF(MONTH(tblData[[#This Row],[DATE]])=12,13,MONTH(tblData[[#This Row],[DATE]])+1)),"")</f>
        <v>29599.999999999985</v>
      </c>
      <c r="P8" s="38">
        <f>IFERROR(TREND($M$6:INDEX($M:$M,ROW(),1),$I$6:INDEX($I:$I,ROW(),1),IF(tblData[[#This Row],[QUARTER]]=4,5,tblData[[#This Row],[QUARTER]]+1)),"")</f>
        <v>50800</v>
      </c>
      <c r="Q8" s="38">
        <f>IFERROR(TREND($N$6:INDEX($N:$N,ROW(),1),$J$6:INDEX($J:$J,ROW(),1),tblData[[#This Row],[YEAR]]+1),"")</f>
        <v>50800</v>
      </c>
    </row>
    <row r="9" spans="2:17" ht="17.25" customHeight="1">
      <c r="B9" s="26">
        <f>42332+J1</f>
        <v>43062</v>
      </c>
      <c r="C9" s="2" t="s">
        <v>43</v>
      </c>
      <c r="D9" s="27">
        <v>5400</v>
      </c>
      <c r="E9" s="27">
        <v>5500</v>
      </c>
      <c r="F9" s="27">
        <v>5637</v>
      </c>
      <c r="G9" s="33">
        <f>tblData[[#This Row],[INVOICE VALUE]]-tblData[[#This Row],[EXPENSES]]</f>
        <v>-237</v>
      </c>
      <c r="H9" s="34">
        <f>DATE(YEAR('Input data'!$B9),MONTH('Input data'!$B9),1)</f>
        <v>43040</v>
      </c>
      <c r="I9" s="35">
        <f>LOOKUP(MONTH('Input data'!$H9),{1,1;2,1;3,1;4,2;5,2;6,2;7,3;8,3;9,3;10,4;11,4;12,4})</f>
        <v>4</v>
      </c>
      <c r="J9" s="36">
        <f>YEAR('Input data'!$B9)</f>
        <v>2017</v>
      </c>
      <c r="K9" s="3">
        <f>MONTH(tblData[[#This Row],[DATE]])</f>
        <v>11</v>
      </c>
      <c r="L9" s="37">
        <f>SUMIFS(tblData[INVOICE VALUE],tblData[DATE],"&gt;="&amp;EOMONTH(tblData[[#This Row],[DATE]],-1)+1,tblData[DATE],"&lt;="&amp;EOMONTH(tblData[[#This Row],[DATE]],0))</f>
        <v>18000</v>
      </c>
      <c r="M9" s="37">
        <f>SUMIFS(tblData[INVOICE VALUE],tblData[DATE],"&gt;="&amp;DATE(YEAR(tblData[[#This Row],[DATE]]),1,1),tblData[DATE],"&lt;="&amp;DATE(YEAR(tblData[[#This Row],[DATE]]),12,31),tblData[QUARTER],tblData[[#This Row],[QUARTER]])</f>
        <v>50800</v>
      </c>
      <c r="N9" s="37">
        <f>SUMIFS(tblData[INVOICE VALUE],tblData[DATE],"&gt;="&amp;DATE(YEAR(tblData[[#This Row],[DATE]]),1,1),tblData[DATE],"&lt;="&amp;DATE(YEAR(tblData[[#This Row],[DATE]]),12,31))</f>
        <v>50800</v>
      </c>
      <c r="O9" s="38">
        <f>IFERROR(TREND($L$6:INDEX($L:$L,ROW(),1),$K$6:INDEX($K:$K,ROW(),1),IF(MONTH(tblData[[#This Row],[DATE]])=12,13,MONTH(tblData[[#This Row],[DATE]])+1)),"")</f>
        <v>29600.000000000015</v>
      </c>
      <c r="P9" s="38">
        <f>IFERROR(TREND($M$6:INDEX($M:$M,ROW(),1),$I$6:INDEX($I:$I,ROW(),1),IF(tblData[[#This Row],[QUARTER]]=4,5,tblData[[#This Row],[QUARTER]]+1)),"")</f>
        <v>50800</v>
      </c>
      <c r="Q9" s="38">
        <f>IFERROR(TREND($N$6:INDEX($N:$N,ROW(),1),$J$6:INDEX($J:$J,ROW(),1),tblData[[#This Row],[YEAR]]+1),"")</f>
        <v>50800</v>
      </c>
    </row>
    <row r="10" spans="2:17" ht="17.25" customHeight="1">
      <c r="B10" s="26">
        <f>42340+J1</f>
        <v>43070</v>
      </c>
      <c r="C10" s="2" t="s">
        <v>47</v>
      </c>
      <c r="D10" s="27">
        <v>5800</v>
      </c>
      <c r="E10" s="27">
        <v>6000</v>
      </c>
      <c r="F10" s="27">
        <v>8588</v>
      </c>
      <c r="G10" s="33">
        <f>tblData[[#This Row],[INVOICE VALUE]]-tblData[[#This Row],[EXPENSES]]</f>
        <v>-2788</v>
      </c>
      <c r="H10" s="34">
        <f>DATE(YEAR('Input data'!$B10),MONTH('Input data'!$B10),1)</f>
        <v>43070</v>
      </c>
      <c r="I10" s="35">
        <f>LOOKUP(MONTH('Input data'!$H10),{1,1;2,1;3,1;4,2;5,2;6,2;7,3;8,3;9,3;10,4;11,4;12,4})</f>
        <v>4</v>
      </c>
      <c r="J10" s="36">
        <f>YEAR('Input data'!$B10)</f>
        <v>2017</v>
      </c>
      <c r="K10" s="3">
        <f>MONTH(tblData[[#This Row],[DATE]])</f>
        <v>12</v>
      </c>
      <c r="L10" s="37">
        <f>SUMIFS(tblData[INVOICE VALUE],tblData[DATE],"&gt;="&amp;EOMONTH(tblData[[#This Row],[DATE]],-1)+1,tblData[DATE],"&lt;="&amp;EOMONTH(tblData[[#This Row],[DATE]],0))</f>
        <v>26400</v>
      </c>
      <c r="M10" s="37">
        <f>SUMIFS(tblData[INVOICE VALUE],tblData[DATE],"&gt;="&amp;DATE(YEAR(tblData[[#This Row],[DATE]]),1,1),tblData[DATE],"&lt;="&amp;DATE(YEAR(tblData[[#This Row],[DATE]]),12,31),tblData[QUARTER],tblData[[#This Row],[QUARTER]])</f>
        <v>50800</v>
      </c>
      <c r="N10" s="37">
        <f>SUMIFS(tblData[INVOICE VALUE],tblData[DATE],"&gt;="&amp;DATE(YEAR(tblData[[#This Row],[DATE]]),1,1),tblData[DATE],"&lt;="&amp;DATE(YEAR(tblData[[#This Row],[DATE]]),12,31))</f>
        <v>50800</v>
      </c>
      <c r="O10" s="38">
        <f>IFERROR(TREND($L$6:INDEX($L:$L,ROW(),1),$K$6:INDEX($K:$K,ROW(),1),IF(MONTH(tblData[[#This Row],[DATE]])=12,13,MONTH(tblData[[#This Row],[DATE]])+1)),"")</f>
        <v>37360</v>
      </c>
      <c r="P10" s="38">
        <f>IFERROR(TREND($M$6:INDEX($M:$M,ROW(),1),$I$6:INDEX($I:$I,ROW(),1),IF(tblData[[#This Row],[QUARTER]]=4,5,tblData[[#This Row],[QUARTER]]+1)),"")</f>
        <v>50800</v>
      </c>
      <c r="Q10" s="38">
        <f>IFERROR(TREND($N$6:INDEX($N:$N,ROW(),1),$J$6:INDEX($J:$J,ROW(),1),tblData[[#This Row],[YEAR]]+1),"")</f>
        <v>50800</v>
      </c>
    </row>
    <row r="11" spans="2:17" ht="17.25" customHeight="1">
      <c r="B11" s="26">
        <f>42348+J1</f>
        <v>43078</v>
      </c>
      <c r="C11" s="2" t="s">
        <v>42</v>
      </c>
      <c r="D11" s="27">
        <v>6200</v>
      </c>
      <c r="E11" s="27">
        <v>5500</v>
      </c>
      <c r="F11" s="27">
        <v>4532</v>
      </c>
      <c r="G11" s="33">
        <f>tblData[[#This Row],[INVOICE VALUE]]-tblData[[#This Row],[EXPENSES]]</f>
        <v>1668</v>
      </c>
      <c r="H11" s="34">
        <f>DATE(YEAR('Input data'!$B11),MONTH('Input data'!$B11),1)</f>
        <v>43070</v>
      </c>
      <c r="I11" s="35">
        <f>LOOKUP(MONTH('Input data'!$H11),{1,1;2,1;3,1;4,2;5,2;6,2;7,3;8,3;9,3;10,4;11,4;12,4})</f>
        <v>4</v>
      </c>
      <c r="J11" s="36">
        <f>YEAR('Input data'!$B11)</f>
        <v>2017</v>
      </c>
      <c r="K11" s="3">
        <f>MONTH(tblData[[#This Row],[DATE]])</f>
        <v>12</v>
      </c>
      <c r="L11" s="37">
        <f>SUMIFS(tblData[INVOICE VALUE],tblData[DATE],"&gt;="&amp;EOMONTH(tblData[[#This Row],[DATE]],-1)+1,tblData[DATE],"&lt;="&amp;EOMONTH(tblData[[#This Row],[DATE]],0))</f>
        <v>26400</v>
      </c>
      <c r="M11" s="37">
        <f>SUMIFS(tblData[INVOICE VALUE],tblData[DATE],"&gt;="&amp;DATE(YEAR(tblData[[#This Row],[DATE]]),1,1),tblData[DATE],"&lt;="&amp;DATE(YEAR(tblData[[#This Row],[DATE]]),12,31),tblData[QUARTER],tblData[[#This Row],[QUARTER]])</f>
        <v>50800</v>
      </c>
      <c r="N11" s="37">
        <f>SUMIFS(tblData[INVOICE VALUE],tblData[DATE],"&gt;="&amp;DATE(YEAR(tblData[[#This Row],[DATE]]),1,1),tblData[DATE],"&lt;="&amp;DATE(YEAR(tblData[[#This Row],[DATE]]),12,31))</f>
        <v>50800</v>
      </c>
      <c r="O11" s="38">
        <f>IFERROR(TREND($L$6:INDEX($L:$L,ROW(),1),$K$6:INDEX($K:$K,ROW(),1),IF(MONTH(tblData[[#This Row],[DATE]])=12,13,MONTH(tblData[[#This Row],[DATE]])+1)),"")</f>
        <v>36682.352941176476</v>
      </c>
      <c r="P11" s="38">
        <f>IFERROR(TREND($M$6:INDEX($M:$M,ROW(),1),$I$6:INDEX($I:$I,ROW(),1),IF(tblData[[#This Row],[QUARTER]]=4,5,tblData[[#This Row],[QUARTER]]+1)),"")</f>
        <v>50800</v>
      </c>
      <c r="Q11" s="38">
        <f>IFERROR(TREND($N$6:INDEX($N:$N,ROW(),1),$J$6:INDEX($J:$J,ROW(),1),tblData[[#This Row],[YEAR]]+1),"")</f>
        <v>50800</v>
      </c>
    </row>
    <row r="12" spans="2:17" ht="17.25" customHeight="1">
      <c r="B12" s="26">
        <f>42355+J1</f>
        <v>43085</v>
      </c>
      <c r="C12" s="2" t="s">
        <v>44</v>
      </c>
      <c r="D12" s="27">
        <v>6900</v>
      </c>
      <c r="E12" s="27">
        <v>7500</v>
      </c>
      <c r="F12" s="27">
        <v>7467</v>
      </c>
      <c r="G12" s="33">
        <f>tblData[[#This Row],[INVOICE VALUE]]-tblData[[#This Row],[EXPENSES]]</f>
        <v>-567</v>
      </c>
      <c r="H12" s="34">
        <f>DATE(YEAR('Input data'!$B12),MONTH('Input data'!$B12),1)</f>
        <v>43070</v>
      </c>
      <c r="I12" s="35">
        <f>LOOKUP(MONTH('Input data'!$H12),{1,1;2,1;3,1;4,2;5,2;6,2;7,3;8,3;9,3;10,4;11,4;12,4})</f>
        <v>4</v>
      </c>
      <c r="J12" s="36">
        <f>YEAR('Input data'!$B12)</f>
        <v>2017</v>
      </c>
      <c r="K12" s="3">
        <f>MONTH(tblData[[#This Row],[DATE]])</f>
        <v>12</v>
      </c>
      <c r="L12" s="37">
        <f>SUMIFS(tblData[INVOICE VALUE],tblData[DATE],"&gt;="&amp;EOMONTH(tblData[[#This Row],[DATE]],-1)+1,tblData[DATE],"&lt;="&amp;EOMONTH(tblData[[#This Row],[DATE]],0))</f>
        <v>26400</v>
      </c>
      <c r="M12" s="37">
        <f>SUMIFS(tblData[INVOICE VALUE],tblData[DATE],"&gt;="&amp;DATE(YEAR(tblData[[#This Row],[DATE]]),1,1),tblData[DATE],"&lt;="&amp;DATE(YEAR(tblData[[#This Row],[DATE]]),12,31),tblData[QUARTER],tblData[[#This Row],[QUARTER]])</f>
        <v>50800</v>
      </c>
      <c r="N12" s="37">
        <f>SUMIFS(tblData[INVOICE VALUE],tblData[DATE],"&gt;="&amp;DATE(YEAR(tblData[[#This Row],[DATE]]),1,1),tblData[DATE],"&lt;="&amp;DATE(YEAR(tblData[[#This Row],[DATE]]),12,31))</f>
        <v>50800</v>
      </c>
      <c r="O12" s="38">
        <f>IFERROR(TREND($L$6:INDEX($L:$L,ROW(),1),$K$6:INDEX($K:$K,ROW(),1),IF(MONTH(tblData[[#This Row],[DATE]])=12,13,MONTH(tblData[[#This Row],[DATE]])+1)),"")</f>
        <v>36400</v>
      </c>
      <c r="P12" s="38">
        <f>IFERROR(TREND($M$6:INDEX($M:$M,ROW(),1),$I$6:INDEX($I:$I,ROW(),1),IF(tblData[[#This Row],[QUARTER]]=4,5,tblData[[#This Row],[QUARTER]]+1)),"")</f>
        <v>50800</v>
      </c>
      <c r="Q12" s="38">
        <f>IFERROR(TREND($N$6:INDEX($N:$N,ROW(),1),$J$6:INDEX($J:$J,ROW(),1),tblData[[#This Row],[YEAR]]+1),"")</f>
        <v>50800</v>
      </c>
    </row>
    <row r="13" spans="2:17" ht="17.25" customHeight="1">
      <c r="B13" s="26">
        <f>42362+J1</f>
        <v>43092</v>
      </c>
      <c r="C13" s="2" t="s">
        <v>47</v>
      </c>
      <c r="D13" s="27">
        <v>7500</v>
      </c>
      <c r="E13" s="27">
        <v>7200</v>
      </c>
      <c r="F13" s="27">
        <v>6789</v>
      </c>
      <c r="G13" s="33">
        <f>tblData[[#This Row],[INVOICE VALUE]]-tblData[[#This Row],[EXPENSES]]</f>
        <v>711</v>
      </c>
      <c r="H13" s="34">
        <f>DATE(YEAR('Input data'!$B13),MONTH('Input data'!$B13),1)</f>
        <v>43070</v>
      </c>
      <c r="I13" s="35">
        <f>LOOKUP(MONTH('Input data'!$H13),{1,1;2,1;3,1;4,2;5,2;6,2;7,3;8,3;9,3;10,4;11,4;12,4})</f>
        <v>4</v>
      </c>
      <c r="J13" s="36">
        <f>YEAR('Input data'!$B13)</f>
        <v>2017</v>
      </c>
      <c r="K13" s="3">
        <f>MONTH(tblData[[#This Row],[DATE]])</f>
        <v>12</v>
      </c>
      <c r="L13" s="37">
        <f>SUMIFS(tblData[INVOICE VALUE],tblData[DATE],"&gt;="&amp;EOMONTH(tblData[[#This Row],[DATE]],-1)+1,tblData[DATE],"&lt;="&amp;EOMONTH(tblData[[#This Row],[DATE]],0))</f>
        <v>26400</v>
      </c>
      <c r="M13" s="37">
        <f>SUMIFS(tblData[INVOICE VALUE],tblData[DATE],"&gt;="&amp;DATE(YEAR(tblData[[#This Row],[DATE]]),1,1),tblData[DATE],"&lt;="&amp;DATE(YEAR(tblData[[#This Row],[DATE]]),12,31),tblData[QUARTER],tblData[[#This Row],[QUARTER]])</f>
        <v>50800</v>
      </c>
      <c r="N13" s="37">
        <f>SUMIFS(tblData[INVOICE VALUE],tblData[DATE],"&gt;="&amp;DATE(YEAR(tblData[[#This Row],[DATE]]),1,1),tblData[DATE],"&lt;="&amp;DATE(YEAR(tblData[[#This Row],[DATE]]),12,31))</f>
        <v>50800</v>
      </c>
      <c r="O13" s="38">
        <f>IFERROR(TREND($L$6:INDEX($L:$L,ROW(),1),$K$6:INDEX($K:$K,ROW(),1),IF(MONTH(tblData[[#This Row],[DATE]])=12,13,MONTH(tblData[[#This Row],[DATE]])+1)),"")</f>
        <v>36245.161290322576</v>
      </c>
      <c r="P13" s="38">
        <f>IFERROR(TREND($M$6:INDEX($M:$M,ROW(),1),$I$6:INDEX($I:$I,ROW(),1),IF(tblData[[#This Row],[QUARTER]]=4,5,tblData[[#This Row],[QUARTER]]+1)),"")</f>
        <v>50800</v>
      </c>
      <c r="Q13" s="38">
        <f>IFERROR(TREND($N$6:INDEX($N:$N,ROW(),1),$J$6:INDEX($J:$J,ROW(),1),tblData[[#This Row],[YEAR]]+1),"")</f>
        <v>50800</v>
      </c>
    </row>
    <row r="14" spans="2:17" ht="17.25" customHeight="1">
      <c r="B14" s="26">
        <f>42372+J1</f>
        <v>43102</v>
      </c>
      <c r="C14" s="2" t="s">
        <v>46</v>
      </c>
      <c r="D14" s="27">
        <v>8700</v>
      </c>
      <c r="E14" s="27">
        <v>8500</v>
      </c>
      <c r="F14" s="27">
        <v>7250</v>
      </c>
      <c r="G14" s="33">
        <f>tblData[[#This Row],[INVOICE VALUE]]-tblData[[#This Row],[EXPENSES]]</f>
        <v>1450</v>
      </c>
      <c r="H14" s="34">
        <f>DATE(YEAR('Input data'!$B14),MONTH('Input data'!$B14),1)</f>
        <v>43101</v>
      </c>
      <c r="I14" s="35">
        <f>LOOKUP(MONTH('Input data'!$H14),{1,1;2,1;3,1;4,2;5,2;6,2;7,3;8,3;9,3;10,4;11,4;12,4})</f>
        <v>1</v>
      </c>
      <c r="J14" s="36">
        <f>YEAR('Input data'!$B14)</f>
        <v>2018</v>
      </c>
      <c r="K14" s="3">
        <f>MONTH(tblData[[#This Row],[DATE]])</f>
        <v>1</v>
      </c>
      <c r="L14" s="37">
        <f>SUMIFS(tblData[INVOICE VALUE],tblData[DATE],"&gt;="&amp;EOMONTH(tblData[[#This Row],[DATE]],-1)+1,tblData[DATE],"&lt;="&amp;EOMONTH(tblData[[#This Row],[DATE]],0))</f>
        <v>34200</v>
      </c>
      <c r="M14" s="37">
        <f>SUMIFS(tblData[INVOICE VALUE],tblData[DATE],"&gt;="&amp;DATE(YEAR(tblData[[#This Row],[DATE]]),1,1),tblData[DATE],"&lt;="&amp;DATE(YEAR(tblData[[#This Row],[DATE]]),12,31),tblData[QUARTER],tblData[[#This Row],[QUARTER]])</f>
        <v>70400</v>
      </c>
      <c r="N14" s="37">
        <f>SUMIFS(tblData[INVOICE VALUE],tblData[DATE],"&gt;="&amp;DATE(YEAR(tblData[[#This Row],[DATE]]),1,1),tblData[DATE],"&lt;="&amp;DATE(YEAR(tblData[[#This Row],[DATE]]),12,31))</f>
        <v>87400</v>
      </c>
      <c r="O14" s="38">
        <f>IFERROR(TREND($L$6:INDEX($L:$L,ROW(),1),$K$6:INDEX($K:$K,ROW(),1),IF(MONTH(tblData[[#This Row],[DATE]])=12,13,MONTH(tblData[[#This Row],[DATE]])+1)),"")</f>
        <v>29437.053571428572</v>
      </c>
      <c r="P14" s="38">
        <f>IFERROR(TREND($M$6:INDEX($M:$M,ROW(),1),$I$6:INDEX($I:$I,ROW(),1),IF(tblData[[#This Row],[QUARTER]]=4,5,tblData[[#This Row],[QUARTER]]+1)),"")</f>
        <v>63866.666666666672</v>
      </c>
      <c r="Q14" s="38">
        <f>IFERROR(TREND($N$6:INDEX($N:$N,ROW(),1),$J$6:INDEX($J:$J,ROW(),1),tblData[[#This Row],[YEAR]]+1),"")</f>
        <v>124000</v>
      </c>
    </row>
    <row r="15" spans="2:17" ht="17.25" customHeight="1">
      <c r="B15" s="26">
        <f>42380+J1</f>
        <v>43110</v>
      </c>
      <c r="C15" s="2" t="s">
        <v>0</v>
      </c>
      <c r="D15" s="27">
        <v>8500</v>
      </c>
      <c r="E15" s="27">
        <v>8300</v>
      </c>
      <c r="F15" s="27">
        <v>7457</v>
      </c>
      <c r="G15" s="33">
        <f>tblData[[#This Row],[INVOICE VALUE]]-tblData[[#This Row],[EXPENSES]]</f>
        <v>1043</v>
      </c>
      <c r="H15" s="34">
        <f>DATE(YEAR('Input data'!$B15),MONTH('Input data'!$B15),1)</f>
        <v>43101</v>
      </c>
      <c r="I15" s="35">
        <f>LOOKUP(MONTH('Input data'!$H15),{1,1;2,1;3,1;4,2;5,2;6,2;7,3;8,3;9,3;10,4;11,4;12,4})</f>
        <v>1</v>
      </c>
      <c r="J15" s="36">
        <f>YEAR('Input data'!$B15)</f>
        <v>2018</v>
      </c>
      <c r="K15" s="3">
        <f>MONTH(tblData[[#This Row],[DATE]])</f>
        <v>1</v>
      </c>
      <c r="L15" s="37">
        <f>SUMIFS(tblData[INVOICE VALUE],tblData[DATE],"&gt;="&amp;EOMONTH(tblData[[#This Row],[DATE]],-1)+1,tblData[DATE],"&lt;="&amp;EOMONTH(tblData[[#This Row],[DATE]],0))</f>
        <v>34200</v>
      </c>
      <c r="M15" s="37">
        <f>SUMIFS(tblData[INVOICE VALUE],tblData[DATE],"&gt;="&amp;DATE(YEAR(tblData[[#This Row],[DATE]]),1,1),tblData[DATE],"&lt;="&amp;DATE(YEAR(tblData[[#This Row],[DATE]]),12,31),tblData[QUARTER],tblData[[#This Row],[QUARTER]])</f>
        <v>70400</v>
      </c>
      <c r="N15" s="37">
        <f>SUMIFS(tblData[INVOICE VALUE],tblData[DATE],"&gt;="&amp;DATE(YEAR(tblData[[#This Row],[DATE]]),1,1),tblData[DATE],"&lt;="&amp;DATE(YEAR(tblData[[#This Row],[DATE]]),12,31))</f>
        <v>87400</v>
      </c>
      <c r="O15" s="38">
        <f>IFERROR(TREND($L$6:INDEX($L:$L,ROW(),1),$K$6:INDEX($K:$K,ROW(),1),IF(MONTH(tblData[[#This Row],[DATE]])=12,13,MONTH(tblData[[#This Row],[DATE]])+1)),"")</f>
        <v>31163.657013060765</v>
      </c>
      <c r="P15" s="38">
        <f>IFERROR(TREND($M$6:INDEX($M:$M,ROW(),1),$I$6:INDEX($I:$I,ROW(),1),IF(tblData[[#This Row],[QUARTER]]=4,5,tblData[[#This Row],[QUARTER]]+1)),"")</f>
        <v>63866.666666666672</v>
      </c>
      <c r="Q15" s="38">
        <f>IFERROR(TREND($N$6:INDEX($N:$N,ROW(),1),$J$6:INDEX($J:$J,ROW(),1),tblData[[#This Row],[YEAR]]+1),"")</f>
        <v>124000</v>
      </c>
    </row>
    <row r="16" spans="2:17" ht="17.25" customHeight="1">
      <c r="B16" s="26">
        <f>42388+J1</f>
        <v>43118</v>
      </c>
      <c r="C16" s="2" t="s">
        <v>47</v>
      </c>
      <c r="D16" s="27">
        <v>7900</v>
      </c>
      <c r="E16" s="27">
        <v>7700</v>
      </c>
      <c r="F16" s="27">
        <v>5637</v>
      </c>
      <c r="G16" s="33">
        <f>tblData[[#This Row],[INVOICE VALUE]]-tblData[[#This Row],[EXPENSES]]</f>
        <v>2263</v>
      </c>
      <c r="H16" s="34">
        <f>DATE(YEAR('Input data'!$B16),MONTH('Input data'!$B16),1)</f>
        <v>43101</v>
      </c>
      <c r="I16" s="35">
        <f>LOOKUP(MONTH('Input data'!$H16),{1,1;2,1;3,1;4,2;5,2;6,2;7,3;8,3;9,3;10,4;11,4;12,4})</f>
        <v>1</v>
      </c>
      <c r="J16" s="36">
        <f>YEAR('Input data'!$B16)</f>
        <v>2018</v>
      </c>
      <c r="K16" s="3">
        <f>MONTH(tblData[[#This Row],[DATE]])</f>
        <v>1</v>
      </c>
      <c r="L16" s="37">
        <f>SUMIFS(tblData[INVOICE VALUE],tblData[DATE],"&gt;="&amp;EOMONTH(tblData[[#This Row],[DATE]],-1)+1,tblData[DATE],"&lt;="&amp;EOMONTH(tblData[[#This Row],[DATE]],0))</f>
        <v>34200</v>
      </c>
      <c r="M16" s="37">
        <f>SUMIFS(tblData[INVOICE VALUE],tblData[DATE],"&gt;="&amp;DATE(YEAR(tblData[[#This Row],[DATE]]),1,1),tblData[DATE],"&lt;="&amp;DATE(YEAR(tblData[[#This Row],[DATE]]),12,31),tblData[QUARTER],tblData[[#This Row],[QUARTER]])</f>
        <v>70400</v>
      </c>
      <c r="N16" s="37">
        <f>SUMIFS(tblData[INVOICE VALUE],tblData[DATE],"&gt;="&amp;DATE(YEAR(tblData[[#This Row],[DATE]]),1,1),tblData[DATE],"&lt;="&amp;DATE(YEAR(tblData[[#This Row],[DATE]]),12,31))</f>
        <v>87400</v>
      </c>
      <c r="O16" s="38">
        <f>IFERROR(TREND($L$6:INDEX($L:$L,ROW(),1),$K$6:INDEX($K:$K,ROW(),1),IF(MONTH(tblData[[#This Row],[DATE]])=12,13,MONTH(tblData[[#This Row],[DATE]])+1)),"")</f>
        <v>31752.779893373958</v>
      </c>
      <c r="P16" s="38">
        <f>IFERROR(TREND($M$6:INDEX($M:$M,ROW(),1),$I$6:INDEX($I:$I,ROW(),1),IF(tblData[[#This Row],[QUARTER]]=4,5,tblData[[#This Row],[QUARTER]]+1)),"")</f>
        <v>63866.666666666664</v>
      </c>
      <c r="Q16" s="38">
        <f>IFERROR(TREND($N$6:INDEX($N:$N,ROW(),1),$J$6:INDEX($J:$J,ROW(),1),tblData[[#This Row],[YEAR]]+1),"")</f>
        <v>124000</v>
      </c>
    </row>
    <row r="17" spans="2:17" ht="17.25" customHeight="1">
      <c r="B17" s="26">
        <f>42396+J1</f>
        <v>43126</v>
      </c>
      <c r="C17" s="2" t="s">
        <v>4</v>
      </c>
      <c r="D17" s="27">
        <v>9100</v>
      </c>
      <c r="E17" s="27">
        <v>8900</v>
      </c>
      <c r="F17" s="27">
        <v>8758</v>
      </c>
      <c r="G17" s="33">
        <f>tblData[[#This Row],[INVOICE VALUE]]-tblData[[#This Row],[EXPENSES]]</f>
        <v>342</v>
      </c>
      <c r="H17" s="34">
        <f>DATE(YEAR('Input data'!$B17),MONTH('Input data'!$B17),1)</f>
        <v>43101</v>
      </c>
      <c r="I17" s="35">
        <f>LOOKUP(MONTH('Input data'!$H17),{1,1;2,1;3,1;4,2;5,2;6,2;7,3;8,3;9,3;10,4;11,4;12,4})</f>
        <v>1</v>
      </c>
      <c r="J17" s="36">
        <f>YEAR('Input data'!$B17)</f>
        <v>2018</v>
      </c>
      <c r="K17" s="3">
        <f>MONTH(tblData[[#This Row],[DATE]])</f>
        <v>1</v>
      </c>
      <c r="L17" s="37">
        <f>SUMIFS(tblData[INVOICE VALUE],tblData[DATE],"&gt;="&amp;EOMONTH(tblData[[#This Row],[DATE]],-1)+1,tblData[DATE],"&lt;="&amp;EOMONTH(tblData[[#This Row],[DATE]],0))</f>
        <v>34200</v>
      </c>
      <c r="M17" s="37">
        <f>SUMIFS(tblData[INVOICE VALUE],tblData[DATE],"&gt;="&amp;DATE(YEAR(tblData[[#This Row],[DATE]]),1,1),tblData[DATE],"&lt;="&amp;DATE(YEAR(tblData[[#This Row],[DATE]]),12,31),tblData[QUARTER],tblData[[#This Row],[QUARTER]])</f>
        <v>70400</v>
      </c>
      <c r="N17" s="37">
        <f>SUMIFS(tblData[INVOICE VALUE],tblData[DATE],"&gt;="&amp;DATE(YEAR(tblData[[#This Row],[DATE]]),1,1),tblData[DATE],"&lt;="&amp;DATE(YEAR(tblData[[#This Row],[DATE]]),12,31))</f>
        <v>87400</v>
      </c>
      <c r="O17" s="38">
        <f>IFERROR(TREND($L$6:INDEX($L:$L,ROW(),1),$K$6:INDEX($K:$K,ROW(),1),IF(MONTH(tblData[[#This Row],[DATE]])=12,13,MONTH(tblData[[#This Row],[DATE]])+1)),"")</f>
        <v>32049.957032368948</v>
      </c>
      <c r="P17" s="38">
        <f>IFERROR(TREND($M$6:INDEX($M:$M,ROW(),1),$I$6:INDEX($I:$I,ROW(),1),IF(tblData[[#This Row],[QUARTER]]=4,5,tblData[[#This Row],[QUARTER]]+1)),"")</f>
        <v>63866.666666666672</v>
      </c>
      <c r="Q17" s="38">
        <f>IFERROR(TREND($N$6:INDEX($N:$N,ROW(),1),$J$6:INDEX($J:$J,ROW(),1),tblData[[#This Row],[YEAR]]+1),"")</f>
        <v>124000</v>
      </c>
    </row>
    <row r="18" spans="2:17" ht="17.25" customHeight="1">
      <c r="B18" s="26">
        <f>41404+J1</f>
        <v>42134</v>
      </c>
      <c r="C18" s="2" t="s">
        <v>48</v>
      </c>
      <c r="D18" s="27">
        <v>5600</v>
      </c>
      <c r="E18" s="27">
        <v>5800</v>
      </c>
      <c r="F18" s="27">
        <v>4562</v>
      </c>
      <c r="G18" s="33">
        <f>tblData[[#This Row],[INVOICE VALUE]]-tblData[[#This Row],[EXPENSES]]</f>
        <v>1038</v>
      </c>
      <c r="H18" s="34">
        <f>DATE(YEAR('Input data'!$B18),MONTH('Input data'!$B18),1)</f>
        <v>42125</v>
      </c>
      <c r="I18" s="35">
        <f>LOOKUP(MONTH('Input data'!$H18),{1,1;2,1;3,1;4,2;5,2;6,2;7,3;8,3;9,3;10,4;11,4;12,4})</f>
        <v>2</v>
      </c>
      <c r="J18" s="36">
        <f>YEAR('Input data'!$B18)</f>
        <v>2015</v>
      </c>
      <c r="K18" s="3">
        <f>MONTH(tblData[[#This Row],[DATE]])</f>
        <v>5</v>
      </c>
      <c r="L18" s="37">
        <f>SUMIFS(tblData[INVOICE VALUE],tblData[DATE],"&gt;="&amp;EOMONTH(tblData[[#This Row],[DATE]],-1)+1,tblData[DATE],"&lt;="&amp;EOMONTH(tblData[[#This Row],[DATE]],0))</f>
        <v>5600</v>
      </c>
      <c r="M18" s="37">
        <f>SUMIFS(tblData[INVOICE VALUE],tblData[DATE],"&gt;="&amp;DATE(YEAR(tblData[[#This Row],[DATE]]),1,1),tblData[DATE],"&lt;="&amp;DATE(YEAR(tblData[[#This Row],[DATE]]),12,31),tblData[QUARTER],tblData[[#This Row],[QUARTER]])</f>
        <v>5600</v>
      </c>
      <c r="N18" s="37">
        <f>SUMIFS(tblData[INVOICE VALUE],tblData[DATE],"&gt;="&amp;DATE(YEAR(tblData[[#This Row],[DATE]]),1,1),tblData[DATE],"&lt;="&amp;DATE(YEAR(tblData[[#This Row],[DATE]]),12,31))</f>
        <v>5600</v>
      </c>
      <c r="O18" s="38">
        <f>IFERROR(TREND($L$6:INDEX($L:$L,ROW(),1),$K$6:INDEX($K:$K,ROW(),1),IF(MONTH(tblData[[#This Row],[DATE]])=12,13,MONTH(tblData[[#This Row],[DATE]])+1)),"")</f>
        <v>25322.142121524201</v>
      </c>
      <c r="P18" s="38">
        <f>IFERROR(TREND($M$6:INDEX($M:$M,ROW(),1),$I$6:INDEX($I:$I,ROW(),1),IF(tblData[[#This Row],[QUARTER]]=4,5,tblData[[#This Row],[QUARTER]]+1)),"")</f>
        <v>53017.283950617275</v>
      </c>
      <c r="Q18" s="38">
        <f>IFERROR(TREND($N$6:INDEX($N:$N,ROW(),1),$J$6:INDEX($J:$J,ROW(),1),tblData[[#This Row],[YEAR]]+1),"")</f>
        <v>25400</v>
      </c>
    </row>
    <row r="19" spans="2:17" ht="17.25" customHeight="1">
      <c r="B19" s="26">
        <f>42414+J1</f>
        <v>43144</v>
      </c>
      <c r="C19" s="2" t="s">
        <v>3</v>
      </c>
      <c r="D19" s="27">
        <v>9300</v>
      </c>
      <c r="E19" s="27">
        <v>9100</v>
      </c>
      <c r="F19" s="27">
        <v>7648</v>
      </c>
      <c r="G19" s="33">
        <f>tblData[[#This Row],[INVOICE VALUE]]-tblData[[#This Row],[EXPENSES]]</f>
        <v>1652</v>
      </c>
      <c r="H19" s="34">
        <f>DATE(YEAR('Input data'!$B19),MONTH('Input data'!$B19),1)</f>
        <v>43132</v>
      </c>
      <c r="I19" s="35">
        <f>LOOKUP(MONTH('Input data'!$H19),{1,1;2,1;3,1;4,2;5,2;6,2;7,3;8,3;9,3;10,4;11,4;12,4})</f>
        <v>1</v>
      </c>
      <c r="J19" s="36">
        <f>YEAR('Input data'!$B19)</f>
        <v>2018</v>
      </c>
      <c r="K19" s="3">
        <f>MONTH(tblData[[#This Row],[DATE]])</f>
        <v>2</v>
      </c>
      <c r="L19" s="37">
        <f>SUMIFS(tblData[INVOICE VALUE],tblData[DATE],"&gt;="&amp;EOMONTH(tblData[[#This Row],[DATE]],-1)+1,tblData[DATE],"&lt;="&amp;EOMONTH(tblData[[#This Row],[DATE]],0))</f>
        <v>9300</v>
      </c>
      <c r="M19" s="37">
        <f>SUMIFS(tblData[INVOICE VALUE],tblData[DATE],"&gt;="&amp;DATE(YEAR(tblData[[#This Row],[DATE]]),1,1),tblData[DATE],"&lt;="&amp;DATE(YEAR(tblData[[#This Row],[DATE]]),12,31),tblData[QUARTER],tblData[[#This Row],[QUARTER]])</f>
        <v>70400</v>
      </c>
      <c r="N19" s="37">
        <f>SUMIFS(tblData[INVOICE VALUE],tblData[DATE],"&gt;="&amp;DATE(YEAR(tblData[[#This Row],[DATE]]),1,1),tblData[DATE],"&lt;="&amp;DATE(YEAR(tblData[[#This Row],[DATE]]),12,31))</f>
        <v>87400</v>
      </c>
      <c r="O19" s="38">
        <f>IFERROR(TREND($L$6:INDEX($L:$L,ROW(),1),$K$6:INDEX($K:$K,ROW(),1),IF(MONTH(tblData[[#This Row],[DATE]])=12,13,MONTH(tblData[[#This Row],[DATE]])+1)),"")</f>
        <v>25378.410078192876</v>
      </c>
      <c r="P19" s="38">
        <f>IFERROR(TREND($M$6:INDEX($M:$M,ROW(),1),$I$6:INDEX($I:$I,ROW(),1),IF(tblData[[#This Row],[QUARTER]]=4,5,tblData[[#This Row],[QUARTER]]+1)),"")</f>
        <v>58436.272040302269</v>
      </c>
      <c r="Q19" s="38">
        <f>IFERROR(TREND($N$6:INDEX($N:$N,ROW(),1),$J$6:INDEX($J:$J,ROW(),1),tblData[[#This Row],[YEAR]]+1),"")</f>
        <v>112752.13675213605</v>
      </c>
    </row>
    <row r="20" spans="2:17" ht="17.25" customHeight="1">
      <c r="B20" s="26">
        <f>42436+J1</f>
        <v>43166</v>
      </c>
      <c r="C20" s="2" t="s">
        <v>47</v>
      </c>
      <c r="D20" s="27">
        <v>8800</v>
      </c>
      <c r="E20" s="27">
        <v>9350</v>
      </c>
      <c r="F20" s="27">
        <v>8648</v>
      </c>
      <c r="G20" s="33">
        <f>tblData[[#This Row],[INVOICE VALUE]]-tblData[[#This Row],[EXPENSES]]</f>
        <v>152</v>
      </c>
      <c r="H20" s="34">
        <f>DATE(YEAR('Input data'!$B20),MONTH('Input data'!$B20),1)</f>
        <v>43160</v>
      </c>
      <c r="I20" s="35">
        <f>LOOKUP(MONTH('Input data'!$H20),{1,1;2,1;3,1;4,2;5,2;6,2;7,3;8,3;9,3;10,4;11,4;12,4})</f>
        <v>1</v>
      </c>
      <c r="J20" s="36">
        <f>YEAR('Input data'!$B20)</f>
        <v>2018</v>
      </c>
      <c r="K20" s="3">
        <f>MONTH(tblData[[#This Row],[DATE]])</f>
        <v>3</v>
      </c>
      <c r="L20" s="37">
        <f>SUMIFS(tblData[INVOICE VALUE],tblData[DATE],"&gt;="&amp;EOMONTH(tblData[[#This Row],[DATE]],-1)+1,tblData[DATE],"&lt;="&amp;EOMONTH(tblData[[#This Row],[DATE]],0))</f>
        <v>26900</v>
      </c>
      <c r="M20" s="37">
        <f>SUMIFS(tblData[INVOICE VALUE],tblData[DATE],"&gt;="&amp;DATE(YEAR(tblData[[#This Row],[DATE]]),1,1),tblData[DATE],"&lt;="&amp;DATE(YEAR(tblData[[#This Row],[DATE]]),12,31),tblData[QUARTER],tblData[[#This Row],[QUARTER]])</f>
        <v>70400</v>
      </c>
      <c r="N20" s="37">
        <f>SUMIFS(tblData[INVOICE VALUE],tblData[DATE],"&gt;="&amp;DATE(YEAR(tblData[[#This Row],[DATE]]),1,1),tblData[DATE],"&lt;="&amp;DATE(YEAR(tblData[[#This Row],[DATE]]),12,31))</f>
        <v>87400</v>
      </c>
      <c r="O20" s="38">
        <f>IFERROR(TREND($L$6:INDEX($L:$L,ROW(),1),$K$6:INDEX($K:$K,ROW(),1),IF(MONTH(tblData[[#This Row],[DATE]])=12,13,MONTH(tblData[[#This Row],[DATE]])+1)),"")</f>
        <v>24905.992292870906</v>
      </c>
      <c r="P20" s="38">
        <f>IFERROR(TREND($M$6:INDEX($M:$M,ROW(),1),$I$6:INDEX($I:$I,ROW(),1),IF(tblData[[#This Row],[QUARTER]]=4,5,tblData[[#This Row],[QUARTER]]+1)),"")</f>
        <v>59155.744680851058</v>
      </c>
      <c r="Q20" s="38">
        <f>IFERROR(TREND($N$6:INDEX($N:$N,ROW(),1),$J$6:INDEX($J:$J,ROW(),1),tblData[[#This Row],[YEAR]]+1),"")</f>
        <v>113552.23880596459</v>
      </c>
    </row>
    <row r="21" spans="2:17" ht="17.25" customHeight="1">
      <c r="B21" s="26">
        <f>42444+J1</f>
        <v>43174</v>
      </c>
      <c r="C21" s="2" t="s">
        <v>44</v>
      </c>
      <c r="D21" s="27">
        <v>9100</v>
      </c>
      <c r="E21" s="27">
        <v>9200</v>
      </c>
      <c r="F21" s="27">
        <v>6848</v>
      </c>
      <c r="G21" s="33">
        <f>tblData[[#This Row],[INVOICE VALUE]]-tblData[[#This Row],[EXPENSES]]</f>
        <v>2252</v>
      </c>
      <c r="H21" s="34">
        <f>DATE(YEAR('Input data'!$B21),MONTH('Input data'!$B21),1)</f>
        <v>43160</v>
      </c>
      <c r="I21" s="35">
        <f>LOOKUP(MONTH('Input data'!$H21),{1,1;2,1;3,1;4,2;5,2;6,2;7,3;8,3;9,3;10,4;11,4;12,4})</f>
        <v>1</v>
      </c>
      <c r="J21" s="36">
        <f>YEAR('Input data'!$B21)</f>
        <v>2018</v>
      </c>
      <c r="K21" s="3">
        <f>MONTH(tblData[[#This Row],[DATE]])</f>
        <v>3</v>
      </c>
      <c r="L21" s="37">
        <f>SUMIFS(tblData[INVOICE VALUE],tblData[DATE],"&gt;="&amp;EOMONTH(tblData[[#This Row],[DATE]],-1)+1,tblData[DATE],"&lt;="&amp;EOMONTH(tblData[[#This Row],[DATE]],0))</f>
        <v>26900</v>
      </c>
      <c r="M21" s="37">
        <f>SUMIFS(tblData[INVOICE VALUE],tblData[DATE],"&gt;="&amp;DATE(YEAR(tblData[[#This Row],[DATE]]),1,1),tblData[DATE],"&lt;="&amp;DATE(YEAR(tblData[[#This Row],[DATE]]),12,31),tblData[QUARTER],tblData[[#This Row],[QUARTER]])</f>
        <v>70400</v>
      </c>
      <c r="N21" s="37">
        <f>SUMIFS(tblData[INVOICE VALUE],tblData[DATE],"&gt;="&amp;DATE(YEAR(tblData[[#This Row],[DATE]]),1,1),tblData[DATE],"&lt;="&amp;DATE(YEAR(tblData[[#This Row],[DATE]]),12,31))</f>
        <v>87400</v>
      </c>
      <c r="O21" s="38">
        <f>IFERROR(TREND($L$6:INDEX($L:$L,ROW(),1),$K$6:INDEX($K:$K,ROW(),1),IF(MONTH(tblData[[#This Row],[DATE]])=12,13,MONTH(tblData[[#This Row],[DATE]])+1)),"")</f>
        <v>25028.912742382272</v>
      </c>
      <c r="P21" s="38">
        <f>IFERROR(TREND($M$6:INDEX($M:$M,ROW(),1),$I$6:INDEX($I:$I,ROW(),1),IF(tblData[[#This Row],[QUARTER]]=4,5,tblData[[#This Row],[QUARTER]]+1)),"")</f>
        <v>59681.767955801108</v>
      </c>
      <c r="Q21" s="38">
        <f>IFERROR(TREND($N$6:INDEX($N:$N,ROW(),1),$J$6:INDEX($J:$J,ROW(),1),tblData[[#This Row],[YEAR]]+1),"")</f>
        <v>114172.18543046713</v>
      </c>
    </row>
    <row r="22" spans="2:17" ht="17.25" customHeight="1">
      <c r="B22" s="26">
        <f>42446+J1</f>
        <v>43176</v>
      </c>
      <c r="C22" s="2" t="s">
        <v>48</v>
      </c>
      <c r="D22" s="27">
        <v>9000</v>
      </c>
      <c r="E22" s="27">
        <v>10000</v>
      </c>
      <c r="F22" s="27">
        <v>8684</v>
      </c>
      <c r="G22" s="33">
        <f>tblData[[#This Row],[INVOICE VALUE]]-tblData[[#This Row],[EXPENSES]]</f>
        <v>316</v>
      </c>
      <c r="H22" s="34">
        <f>DATE(YEAR('Input data'!$B22),MONTH('Input data'!$B22),1)</f>
        <v>43160</v>
      </c>
      <c r="I22" s="35">
        <f>LOOKUP(MONTH('Input data'!$H22),{1,1;2,1;3,1;4,2;5,2;6,2;7,3;8,3;9,3;10,4;11,4;12,4})</f>
        <v>1</v>
      </c>
      <c r="J22" s="36">
        <f>YEAR('Input data'!$B22)</f>
        <v>2018</v>
      </c>
      <c r="K22" s="3">
        <f>MONTH(tblData[[#This Row],[DATE]])</f>
        <v>3</v>
      </c>
      <c r="L22" s="37">
        <f>SUMIFS(tblData[INVOICE VALUE],tblData[DATE],"&gt;="&amp;EOMONTH(tblData[[#This Row],[DATE]],-1)+1,tblData[DATE],"&lt;="&amp;EOMONTH(tblData[[#This Row],[DATE]],0))</f>
        <v>26900</v>
      </c>
      <c r="M22" s="37">
        <f>SUMIFS(tblData[INVOICE VALUE],tblData[DATE],"&gt;="&amp;DATE(YEAR(tblData[[#This Row],[DATE]]),1,1),tblData[DATE],"&lt;="&amp;DATE(YEAR(tblData[[#This Row],[DATE]]),12,31),tblData[QUARTER],tblData[[#This Row],[QUARTER]])</f>
        <v>70400</v>
      </c>
      <c r="N22" s="37">
        <f>SUMIFS(tblData[INVOICE VALUE],tblData[DATE],"&gt;="&amp;DATE(YEAR(tblData[[#This Row],[DATE]]),1,1),tblData[DATE],"&lt;="&amp;DATE(YEAR(tblData[[#This Row],[DATE]]),12,31))</f>
        <v>87400</v>
      </c>
      <c r="O22" s="38">
        <f>IFERROR(TREND($L$6:INDEX($L:$L,ROW(),1),$K$6:INDEX($K:$K,ROW(),1),IF(MONTH(tblData[[#This Row],[DATE]])=12,13,MONTH(tblData[[#This Row],[DATE]])+1)),"")</f>
        <v>25129.188934297388</v>
      </c>
      <c r="P22" s="38">
        <f>IFERROR(TREND($M$6:INDEX($M:$M,ROW(),1),$I$6:INDEX($I:$I,ROW(),1),IF(tblData[[#This Row],[QUARTER]]=4,5,tblData[[#This Row],[QUARTER]]+1)),"")</f>
        <v>60083.116883116891</v>
      </c>
      <c r="Q22" s="38">
        <f>IFERROR(TREND($N$6:INDEX($N:$N,ROW(),1),$J$6:INDEX($J:$J,ROW(),1),tblData[[#This Row],[YEAR]]+1),"")</f>
        <v>114666.66666667163</v>
      </c>
    </row>
    <row r="23" spans="2:17" ht="17.25" customHeight="1">
      <c r="B23" s="26">
        <f>42480+J1</f>
        <v>43210</v>
      </c>
      <c r="C23" s="2" t="s">
        <v>46</v>
      </c>
      <c r="D23" s="27">
        <v>7500</v>
      </c>
      <c r="E23" s="27">
        <v>8000</v>
      </c>
      <c r="F23" s="27">
        <v>6748</v>
      </c>
      <c r="G23" s="33">
        <f>tblData[[#This Row],[INVOICE VALUE]]-tblData[[#This Row],[EXPENSES]]</f>
        <v>752</v>
      </c>
      <c r="H23" s="34">
        <f>DATE(YEAR('Input data'!$B23),MONTH('Input data'!$B23),1)</f>
        <v>43191</v>
      </c>
      <c r="I23" s="35">
        <f>LOOKUP(MONTH('Input data'!$H23),{1,1;2,1;3,1;4,2;5,2;6,2;7,3;8,3;9,3;10,4;11,4;12,4})</f>
        <v>2</v>
      </c>
      <c r="J23" s="36">
        <f>YEAR('Input data'!$B23)</f>
        <v>2018</v>
      </c>
      <c r="K23" s="3">
        <f>MONTH(tblData[[#This Row],[DATE]])</f>
        <v>4</v>
      </c>
      <c r="L23" s="37">
        <f>SUMIFS(tblData[INVOICE VALUE],tblData[DATE],"&gt;="&amp;EOMONTH(tblData[[#This Row],[DATE]],-1)+1,tblData[DATE],"&lt;="&amp;EOMONTH(tblData[[#This Row],[DATE]],0))</f>
        <v>7500</v>
      </c>
      <c r="M23" s="37">
        <f>SUMIFS(tblData[INVOICE VALUE],tblData[DATE],"&gt;="&amp;DATE(YEAR(tblData[[#This Row],[DATE]]),1,1),tblData[DATE],"&lt;="&amp;DATE(YEAR(tblData[[#This Row],[DATE]]),12,31),tblData[QUARTER],tblData[[#This Row],[QUARTER]])</f>
        <v>17000</v>
      </c>
      <c r="N23" s="37">
        <f>SUMIFS(tblData[INVOICE VALUE],tblData[DATE],"&gt;="&amp;DATE(YEAR(tblData[[#This Row],[DATE]]),1,1),tblData[DATE],"&lt;="&amp;DATE(YEAR(tblData[[#This Row],[DATE]]),12,31))</f>
        <v>87400</v>
      </c>
      <c r="O23" s="38">
        <f>IFERROR(TREND($L$6:INDEX($L:$L,ROW(),1),$K$6:INDEX($K:$K,ROW(),1),IF(MONTH(tblData[[#This Row],[DATE]])=12,13,MONTH(tblData[[#This Row],[DATE]])+1)),"")</f>
        <v>23326.296566837107</v>
      </c>
      <c r="P23" s="38">
        <f>IFERROR(TREND($M$6:INDEX($M:$M,ROW(),1),$I$6:INDEX($I:$I,ROW(),1),IF(tblData[[#This Row],[QUARTER]]=4,5,tblData[[#This Row],[QUARTER]]+1)),"")</f>
        <v>52204.878048780483</v>
      </c>
      <c r="Q23" s="38">
        <f>IFERROR(TREND($N$6:INDEX($N:$N,ROW(),1),$J$6:INDEX($J:$J,ROW(),1),tblData[[#This Row],[YEAR]]+1),"")</f>
        <v>115070.27027027309</v>
      </c>
    </row>
    <row r="24" spans="2:17" ht="17.25" customHeight="1">
      <c r="B24" s="26">
        <f>42501+J1</f>
        <v>43231</v>
      </c>
      <c r="C24" s="2" t="s">
        <v>48</v>
      </c>
      <c r="D24" s="27">
        <v>9500</v>
      </c>
      <c r="E24" s="27">
        <v>9200</v>
      </c>
      <c r="F24" s="27">
        <v>9575</v>
      </c>
      <c r="G24" s="33">
        <f>tblData[[#This Row],[INVOICE VALUE]]-tblData[[#This Row],[EXPENSES]]</f>
        <v>-75</v>
      </c>
      <c r="H24" s="34">
        <f>DATE(YEAR('Input data'!$B24),MONTH('Input data'!$B24),1)</f>
        <v>43221</v>
      </c>
      <c r="I24" s="35">
        <f>LOOKUP(MONTH('Input data'!$H24),{1,1;2,1;3,1;4,2;5,2;6,2;7,3;8,3;9,3;10,4;11,4;12,4})</f>
        <v>2</v>
      </c>
      <c r="J24" s="36">
        <f>YEAR('Input data'!$B24)</f>
        <v>2018</v>
      </c>
      <c r="K24" s="3">
        <f>MONTH(tblData[[#This Row],[DATE]])</f>
        <v>5</v>
      </c>
      <c r="L24" s="37">
        <f>SUMIFS(tblData[INVOICE VALUE],tblData[DATE],"&gt;="&amp;EOMONTH(tblData[[#This Row],[DATE]],-1)+1,tblData[DATE],"&lt;="&amp;EOMONTH(tblData[[#This Row],[DATE]],0))</f>
        <v>9500</v>
      </c>
      <c r="M24" s="37">
        <f>SUMIFS(tblData[INVOICE VALUE],tblData[DATE],"&gt;="&amp;DATE(YEAR(tblData[[#This Row],[DATE]]),1,1),tblData[DATE],"&lt;="&amp;DATE(YEAR(tblData[[#This Row],[DATE]]),12,31),tblData[QUARTER],tblData[[#This Row],[QUARTER]])</f>
        <v>17000</v>
      </c>
      <c r="N24" s="37">
        <f>SUMIFS(tblData[INVOICE VALUE],tblData[DATE],"&gt;="&amp;DATE(YEAR(tblData[[#This Row],[DATE]]),1,1),tblData[DATE],"&lt;="&amp;DATE(YEAR(tblData[[#This Row],[DATE]]),12,31))</f>
        <v>87400</v>
      </c>
      <c r="O24" s="38">
        <f>IFERROR(TREND($L$6:INDEX($L:$L,ROW(),1),$K$6:INDEX($K:$K,ROW(),1),IF(MONTH(tblData[[#This Row],[DATE]])=12,13,MONTH(tblData[[#This Row],[DATE]])+1)),"")</f>
        <v>22024.628099173555</v>
      </c>
      <c r="P24" s="38">
        <f>IFERROR(TREND($M$6:INDEX($M:$M,ROW(),1),$I$6:INDEX($I:$I,ROW(),1),IF(tblData[[#This Row],[QUARTER]]=4,5,tblData[[#This Row],[QUARTER]]+1)),"")</f>
        <v>50344.827586206899</v>
      </c>
      <c r="Q24" s="38">
        <f>IFERROR(TREND($N$6:INDEX($N:$N,ROW(),1),$J$6:INDEX($J:$J,ROW(),1),tblData[[#This Row],[YEAR]]+1),"")</f>
        <v>115405.94059406221</v>
      </c>
    </row>
  </sheetData>
  <printOptions horizontalCentered="1"/>
  <pageMargins left="0.25" right="0.25" top="0.75" bottom="0.75" header="0.3" footer="0.3"/>
  <pageSetup scale="74" fitToHeight="0" orientation="landscape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/>
    <pageSetUpPr autoPageBreaks="0" fitToPage="1"/>
  </sheetPr>
  <dimension ref="B2:J43"/>
  <sheetViews>
    <sheetView showGridLines="0" topLeftCell="A25" zoomScale="90" zoomScaleNormal="90" workbookViewId="0"/>
  </sheetViews>
  <sheetFormatPr defaultRowHeight="10.199999999999999"/>
  <cols>
    <col min="1" max="1" width="2" customWidth="1"/>
    <col min="2" max="2" width="41" customWidth="1"/>
    <col min="3" max="3" width="21.42578125" bestFit="1" customWidth="1"/>
    <col min="4" max="4" width="17.28515625" customWidth="1"/>
    <col min="5" max="5" width="12.7109375" bestFit="1" customWidth="1"/>
    <col min="6" max="6" width="12.42578125" customWidth="1"/>
    <col min="7" max="7" width="24.7109375" bestFit="1" customWidth="1"/>
    <col min="8" max="8" width="20.7109375" bestFit="1" customWidth="1"/>
    <col min="9" max="9" width="23.42578125" bestFit="1" customWidth="1"/>
    <col min="10" max="10" width="10.42578125" customWidth="1"/>
  </cols>
  <sheetData>
    <row r="2" spans="2:10" ht="34.200000000000003">
      <c r="B2" s="25" t="s">
        <v>31</v>
      </c>
    </row>
    <row r="3" spans="2:10" ht="27.75" customHeight="1">
      <c r="B3" s="10" t="str">
        <f ca="1">"CURRENT DATE: "&amp;UPPER(TEXT(TODAY(),"d mmm yyyy"))</f>
        <v>CURRENT DATE: 14 OCT 2020</v>
      </c>
      <c r="D3" s="12">
        <f ca="1">--TRIM(RIGHT(B3,LEN(B3)-FIND(":",B3)))</f>
        <v>44118</v>
      </c>
    </row>
    <row r="4" spans="2:10" ht="15" customHeight="1"/>
    <row r="5" spans="2:10" ht="18.75" customHeight="1">
      <c r="B5" s="24" t="s">
        <v>22</v>
      </c>
      <c r="C5" s="23" t="s">
        <v>29</v>
      </c>
      <c r="D5" s="23" t="s">
        <v>8</v>
      </c>
      <c r="E5" s="23" t="s">
        <v>30</v>
      </c>
      <c r="F5" s="23" t="s">
        <v>1</v>
      </c>
      <c r="G5" s="23" t="s">
        <v>40</v>
      </c>
      <c r="H5" s="23" t="s">
        <v>8</v>
      </c>
      <c r="I5" s="23" t="s">
        <v>30</v>
      </c>
      <c r="J5" s="17" t="s">
        <v>1</v>
      </c>
    </row>
    <row r="6" spans="2:10" ht="15" customHeight="1">
      <c r="B6" s="29" t="s">
        <v>23</v>
      </c>
      <c r="C6" s="39">
        <f ca="1">COUNTIF('Input data'!$B$6:$B$24,"&gt;="&amp;DATE(fYear,MONTH(fDate),1))-COUNTIF('Input data'!$B$6:$B$24,"&gt;"&amp;EOMONTH(fDate,0))</f>
        <v>19</v>
      </c>
      <c r="D6" s="22"/>
      <c r="E6" s="5"/>
      <c r="F6" s="6"/>
      <c r="G6" s="39">
        <f ca="1">COUNTIF(tblData[DATE],"&lt;="&amp;EOMONTH(fDate,0))</f>
        <v>19</v>
      </c>
      <c r="H6" s="4"/>
      <c r="I6" s="4"/>
      <c r="J6" s="7"/>
    </row>
    <row r="7" spans="2:10" ht="15" customHeight="1">
      <c r="B7" s="29" t="s">
        <v>24</v>
      </c>
      <c r="C7" s="40">
        <f ca="1">SUMIF(tblData[DATE],"&gt;="&amp;DATE(fYear,MONTH(fDate),1),tblData[INVOICE VALUE])-SUMIF(tblData[DATE],"&gt;"&amp;EOMONTH(fDate,0),tblData[INVOICE VALUE])</f>
        <v>143800</v>
      </c>
      <c r="D7" s="40">
        <f ca="1">SUMIF('Input data'!$B$6:$B$24,"&gt;="&amp;DATE(fYear,MONTH(fDate),1),'Input data'!$E$6:$E$24)-SUMIF('Input data'!$B$6:$B$24,"&gt;"&amp;EOMONTH(fDate,0),'Input data'!$E$6:$E$24)</f>
        <v>144150</v>
      </c>
      <c r="E7" s="40">
        <f ca="1">D7-C7</f>
        <v>350</v>
      </c>
      <c r="F7" s="41">
        <f ca="1">IFERROR(D7/C7,"-")</f>
        <v>1.0024339360222532</v>
      </c>
      <c r="G7" s="40">
        <f ca="1">SUMIF(tblData[DATE],"&lt;="&amp;EOMONTH(fDate,0),tblData[INVOICE VALUE])</f>
        <v>143800</v>
      </c>
      <c r="H7" s="40">
        <f ca="1">SUMIF(tblData[DATE],"&lt;="&amp;EOMONTH(fDate,0),tblData[PLANNED])</f>
        <v>144150</v>
      </c>
      <c r="I7" s="40">
        <f ca="1">H7-G7</f>
        <v>350</v>
      </c>
      <c r="J7" s="43">
        <f ca="1">IFERROR(H7/G7,"")</f>
        <v>1.0024339360222532</v>
      </c>
    </row>
    <row r="8" spans="2:10" ht="15" customHeight="1">
      <c r="B8" s="29" t="s">
        <v>25</v>
      </c>
      <c r="C8" s="40">
        <f ca="1">(SUMIF(tblData[DATE],"&gt;="&amp;DATE(fYear,MONTH(fDate),1),tblData[INVOICE VALUE])-SUMIF(tblData[DATE],"&gt;"&amp;EOMONTH(fDate,0),tblData[INVOICE VALUE]))-(SUMIF(tblData[DATE],"&gt;="&amp;DATE(fYear,MONTH(fDate),1),tblData[EXPENSES])-SUMIF(tblData[DATE],"&gt;"&amp;EOMONTH(fDate,0),tblData[EXPENSES]))</f>
        <v>15280</v>
      </c>
      <c r="D8" s="40">
        <f ca="1">(SUMIF('Input data'!$B$6:$B$24,"&gt;="&amp;DATE(fYear,MONTH(fDate),1),'Input data'!$E$6:$E$24)-SUMIF('Input data'!$B$6:$B$24,"&gt;"&amp;EOMONTH(fDate,0),'Input data'!$E$6:$E$24))-(SUMIF('Input data'!$B$6:$B$24,"&gt;="&amp;DATE(fYear,MONTH(fDate),1),'Input data'!$F$6:$F$24)-SUMIF('Input data'!$B$6:$B$24,"&gt;"&amp;EOMONTH(fDate,0),'Input data'!$F$6:$F$24))</f>
        <v>15630</v>
      </c>
      <c r="E8" s="40">
        <f ca="1">D8-C8</f>
        <v>350</v>
      </c>
      <c r="F8" s="41">
        <f ca="1">IFERROR(D8/C8,"-")</f>
        <v>1.0229057591623036</v>
      </c>
      <c r="G8" s="40">
        <f ca="1">SUMIF('Input data'!$B$6:$B$24,"&lt;="&amp;EOMONTH(fDate,0),'Input data'!$F$6:$F$24)</f>
        <v>128520</v>
      </c>
      <c r="H8" s="40">
        <f ca="1">SUMIF(tblData[DATE],"&lt;="&amp;EOMONTH(fDate,0),tblData[EXPENSES])</f>
        <v>128520</v>
      </c>
      <c r="I8" s="40">
        <f ca="1">H8-G8</f>
        <v>0</v>
      </c>
      <c r="J8" s="43">
        <f ca="1">IFERROR(H8/G8,"")</f>
        <v>1</v>
      </c>
    </row>
    <row r="9" spans="2:10" ht="15" customHeight="1">
      <c r="B9" s="29" t="s">
        <v>26</v>
      </c>
      <c r="C9" s="41">
        <f ca="1">IFERROR(C8/C7,"-")</f>
        <v>0.10625869262865091</v>
      </c>
      <c r="D9" s="41">
        <f ca="1">IFERROR(D8/D7,"-")</f>
        <v>0.10842872008324662</v>
      </c>
      <c r="E9" s="41"/>
      <c r="F9" s="41">
        <f ca="1">IFERROR(F8/F7,"-")</f>
        <v>1.0204221170137999</v>
      </c>
      <c r="G9" s="41">
        <f ca="1">IFERROR(G8/G7,"")</f>
        <v>0.89374130737134905</v>
      </c>
      <c r="H9" s="41">
        <f ca="1">IFERROR(H8/H7,"")</f>
        <v>0.89157127991675333</v>
      </c>
      <c r="I9" s="41"/>
      <c r="J9" s="43">
        <f ca="1">IFERROR(J8/J7,"")</f>
        <v>0.99757197363857086</v>
      </c>
    </row>
    <row r="10" spans="2:10" ht="15" customHeight="1">
      <c r="B10" s="29" t="s">
        <v>27</v>
      </c>
      <c r="C10" s="42">
        <f ca="1">COUNTIF(tblData[DATE],"&gt;="&amp;DATE(fYear,MONTH(fDate),1))-COUNTIF(tblData[DATE],"&gt;"&amp;EOMONTH(fDate,0))</f>
        <v>19</v>
      </c>
      <c r="D10" s="44"/>
      <c r="E10" s="44"/>
      <c r="F10" s="44"/>
      <c r="G10" s="42">
        <f ca="1">COUNTIF(tblData[DATE],"&gt;"&amp;EOMONTH(fDate,0))</f>
        <v>0</v>
      </c>
      <c r="H10" s="44"/>
      <c r="I10" s="44"/>
      <c r="J10" s="45"/>
    </row>
    <row r="11" spans="2:10" ht="15" customHeight="1">
      <c r="B11" s="30" t="s">
        <v>28</v>
      </c>
      <c r="C11" s="40">
        <f ca="1">IFERROR(C7/C10,"-")</f>
        <v>7568.4210526315792</v>
      </c>
      <c r="D11" s="44"/>
      <c r="E11" s="44"/>
      <c r="F11" s="44"/>
      <c r="G11" s="40" t="str">
        <f ca="1">IFERROR(G7/G10,"-")</f>
        <v>-</v>
      </c>
      <c r="H11" s="44"/>
      <c r="I11" s="44"/>
      <c r="J11" s="45"/>
    </row>
    <row r="12" spans="2:10" ht="27" customHeight="1">
      <c r="B12" s="1"/>
      <c r="C12" s="1"/>
      <c r="D12" s="1"/>
      <c r="E12" s="1"/>
      <c r="F12" s="1"/>
      <c r="G12" s="1"/>
      <c r="H12" s="1"/>
      <c r="I12" s="1"/>
      <c r="J12" s="1"/>
    </row>
    <row r="13" spans="2:10" ht="15.75" customHeight="1">
      <c r="B13" s="16" t="s">
        <v>32</v>
      </c>
      <c r="C13" s="16"/>
      <c r="D13" s="16" t="s">
        <v>33</v>
      </c>
      <c r="E13" s="21"/>
      <c r="F13" s="16" t="s">
        <v>34</v>
      </c>
      <c r="G13" s="21"/>
      <c r="H13" s="16"/>
      <c r="I13" s="16" t="s">
        <v>35</v>
      </c>
      <c r="J13" s="8"/>
    </row>
    <row r="14" spans="2:10">
      <c r="B14" s="18" t="s">
        <v>24</v>
      </c>
      <c r="C14" s="18"/>
      <c r="D14" s="19">
        <f ca="1">TREND(tblData[MONTH2],tblData[MONTH NUMBER (HIDDEN)],IF(MONTH(fDate)=12,13,MONTH(fDate)+1))</f>
        <v>19468.016528925622</v>
      </c>
      <c r="E14" s="20"/>
      <c r="F14" s="19">
        <f ca="1">TREND(tblData[QUARTER2],tblData[MONTH NUMBER (HIDDEN)],IF(MONTH(fDate)=12,13,MONTH(fDate)+1))</f>
        <v>46813.526170798898</v>
      </c>
      <c r="G14" s="20"/>
      <c r="H14" s="19"/>
      <c r="I14" s="19">
        <f ca="1">TREND(tblData[YEAR2],tblData[MONTH NUMBER (HIDDEN)],IF(MONTH(fDate)=12,13,MONTH(fDate)+1))</f>
        <v>50844.022038567491</v>
      </c>
      <c r="J14" s="9"/>
    </row>
    <row r="15" spans="2:10" ht="19.5" customHeight="1"/>
    <row r="16" spans="2:10" s="11" customFormat="1" ht="27" customHeight="1">
      <c r="B16" s="11" t="s">
        <v>41</v>
      </c>
    </row>
    <row r="30" spans="2:6" s="11" customFormat="1" ht="27" customHeight="1">
      <c r="B30" s="11" t="s">
        <v>39</v>
      </c>
      <c r="F30" s="11" t="s">
        <v>38</v>
      </c>
    </row>
    <row r="38" spans="2:10" s="11" customFormat="1" ht="27" customHeight="1">
      <c r="B38" s="11" t="s">
        <v>36</v>
      </c>
      <c r="F38" s="11" t="s">
        <v>37</v>
      </c>
    </row>
    <row r="43" spans="2:10">
      <c r="J43" t="s">
        <v>2</v>
      </c>
    </row>
  </sheetData>
  <conditionalFormatting sqref="E2">
    <cfRule type="expression" dxfId="2" priority="3">
      <formula>(LEN($E2)&gt;0)*(LEN($D3)&gt;0)</formula>
    </cfRule>
  </conditionalFormatting>
  <conditionalFormatting sqref="D2">
    <cfRule type="expression" dxfId="1" priority="2">
      <formula>(LEN($D2)&gt;0)*(LEN($C2)=0)</formula>
    </cfRule>
  </conditionalFormatting>
  <conditionalFormatting sqref="F2">
    <cfRule type="expression" dxfId="0" priority="1">
      <formula>(LEN($D2)&gt;0)*(LEN($C2)=0)</formula>
    </cfRule>
  </conditionalFormatting>
  <printOptions horizontalCentered="1" verticalCentered="1"/>
  <pageMargins left="0.25" right="0.25" top="0.75" bottom="0.75" header="0.3" footer="0.3"/>
  <pageSetup scale="88" orientation="landscape" horizont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AEE7169-E8EC-4E19-BA48-3F46D4C388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Input data</vt:lpstr>
      <vt:lpstr>Forecast sales</vt:lpstr>
      <vt:lpstr>fDate</vt:lpstr>
      <vt:lpstr>fDay</vt:lpstr>
      <vt:lpstr>fMonth</vt:lpstr>
      <vt:lpstr>ForecastDate</vt:lpstr>
      <vt:lpstr>fYear</vt:lpstr>
      <vt:lpstr>'Forecast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lidiya</dc:creator>
  <cp:keywords/>
  <cp:lastModifiedBy>lidiya</cp:lastModifiedBy>
  <dcterms:created xsi:type="dcterms:W3CDTF">2015-05-07T07:47:34Z</dcterms:created>
  <dcterms:modified xsi:type="dcterms:W3CDTF">2020-10-14T16:43:20Z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TC029300469991</vt:lpwstr>
  </property>
</Properties>
</file>