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LAB\April 2024 Version\Research-Project\Data\"/>
    </mc:Choice>
  </mc:AlternateContent>
  <xr:revisionPtr revIDLastSave="0" documentId="13_ncr:1_{4C088ADF-356A-43DA-82B9-37D051C9D5B3}" xr6:coauthVersionLast="47" xr6:coauthVersionMax="47" xr10:uidLastSave="{00000000-0000-0000-0000-000000000000}"/>
  <bookViews>
    <workbookView xWindow="-108" yWindow="-108" windowWidth="23256" windowHeight="12456" tabRatio="821"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2" i="14" l="1"/>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1"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6" i="6"/>
  <c r="AG5" i="6"/>
  <c r="AG69" i="6" s="1"/>
  <c r="AJ3" i="6" s="1"/>
  <c r="W31" i="12"/>
  <c r="M20" i="12"/>
  <c r="D11" i="14" l="1"/>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E11" i="14" l="1"/>
  <c r="F11" i="14" s="1"/>
  <c r="J11" i="14" s="1"/>
  <c r="D12" i="14"/>
  <c r="G47" i="7"/>
  <c r="D13" i="14" l="1"/>
  <c r="E12" i="14"/>
  <c r="F12" i="14" s="1"/>
  <c r="J12" i="14" s="1"/>
  <c r="C29" i="5"/>
  <c r="E13" i="14" l="1"/>
  <c r="F13" i="14" s="1"/>
  <c r="J13" i="14" s="1"/>
  <c r="D14" i="14"/>
  <c r="AA70" i="6"/>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D15" i="14" l="1"/>
  <c r="E14" i="14"/>
  <c r="F14" i="14" s="1"/>
  <c r="J14" i="14" s="1"/>
  <c r="Y69" i="6"/>
  <c r="Y70" i="6" s="1"/>
  <c r="D16" i="14" l="1"/>
  <c r="E15" i="14"/>
  <c r="F15" i="14" s="1"/>
  <c r="J15" i="14" s="1"/>
  <c r="D35" i="3"/>
  <c r="C33" i="3"/>
  <c r="B33" i="3"/>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BD51" i="2"/>
  <c r="T42" i="2"/>
  <c r="D21" i="14" l="1"/>
  <c r="E21" i="14" s="1"/>
  <c r="F21" i="14" s="1"/>
  <c r="J21" i="14" s="1"/>
  <c r="E20" i="14"/>
  <c r="F20" i="14" s="1"/>
  <c r="J20" i="14" s="1"/>
  <c r="O44" i="3"/>
  <c r="B35" i="3"/>
  <c r="AB37" i="3"/>
  <c r="E18" i="3"/>
  <c r="B49" i="2" l="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<sst xmlns="http://schemas.openxmlformats.org/spreadsheetml/2006/main" count="12275" uniqueCount="1632">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</sst>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s>
  <fonts count="16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89">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90">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abSelected="1" topLeftCell="J1" zoomScale="84" zoomScaleNormal="50" workbookViewId="0">
      <selection activeCell="R5" sqref="R5"/>
    </sheetView>
  </sheetViews>
  <sheetFormatPr defaultRowHeight="14.4"/>
  <cols>
    <col min="1" max="1" width="24.33203125" customWidth="1"/>
    <col min="2" max="2" width="18.88671875" bestFit="1" customWidth="1"/>
    <col min="3" max="3" width="18" bestFit="1" customWidth="1"/>
    <col min="4" max="4" width="22.33203125" bestFit="1" customWidth="1"/>
    <col min="5" max="6" width="18" bestFit="1" customWidth="1"/>
    <col min="7" max="7" width="14.109375" bestFit="1" customWidth="1"/>
    <col min="8" max="8" width="13.109375" bestFit="1" customWidth="1"/>
    <col min="9" max="9" width="22.88671875" customWidth="1"/>
    <col min="10" max="10" width="14.21875" bestFit="1" customWidth="1"/>
    <col min="11" max="11" width="57" bestFit="1" customWidth="1"/>
    <col min="12" max="14" width="14.21875" bestFit="1" customWidth="1"/>
    <col min="15" max="15" width="15.77734375" bestFit="1" customWidth="1"/>
    <col min="16" max="16" width="10.21875" bestFit="1" customWidth="1"/>
    <col min="17" max="17" width="35.109375" customWidth="1"/>
  </cols>
  <sheetData>
    <row r="1" spans="1:23" ht="19.5" customHeight="1" thickBot="1">
      <c r="A1" s="878" t="s">
        <v>17</v>
      </c>
      <c r="B1" s="879"/>
      <c r="C1" s="879"/>
      <c r="D1" s="879"/>
      <c r="E1" s="879"/>
      <c r="F1" s="879"/>
      <c r="G1" s="879"/>
      <c r="H1" s="879"/>
      <c r="I1" s="879"/>
      <c r="J1" s="879"/>
      <c r="K1" s="879"/>
      <c r="L1" s="879"/>
      <c r="M1" s="879"/>
      <c r="N1" s="879"/>
      <c r="O1" s="879"/>
    </row>
    <row r="2" spans="1:23">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2"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 thickBot="1">
      <c r="A6" s="8" t="s">
        <v>18</v>
      </c>
      <c r="B6" s="817">
        <v>3469587396.934247</v>
      </c>
      <c r="C6" s="9">
        <v>0</v>
      </c>
      <c r="D6" s="9">
        <v>0</v>
      </c>
      <c r="E6" s="9">
        <v>0</v>
      </c>
      <c r="F6" s="9">
        <v>0</v>
      </c>
      <c r="G6" s="9">
        <v>0</v>
      </c>
      <c r="H6" s="9">
        <v>0</v>
      </c>
      <c r="I6" s="9">
        <v>0</v>
      </c>
      <c r="J6" s="9">
        <v>0</v>
      </c>
      <c r="K6" s="9">
        <v>0</v>
      </c>
      <c r="L6" s="9">
        <v>0</v>
      </c>
      <c r="M6" s="9">
        <v>0</v>
      </c>
      <c r="N6" s="9">
        <v>0</v>
      </c>
      <c r="O6" s="9">
        <v>0</v>
      </c>
    </row>
    <row r="7" spans="1:23">
      <c r="A7" s="8" t="s">
        <v>19</v>
      </c>
      <c r="B7" s="9">
        <v>0</v>
      </c>
      <c r="C7" s="9">
        <v>0</v>
      </c>
      <c r="D7" s="9">
        <v>0</v>
      </c>
      <c r="E7" s="9">
        <v>0</v>
      </c>
      <c r="F7" s="9">
        <v>0</v>
      </c>
      <c r="G7" s="9">
        <v>0</v>
      </c>
      <c r="H7" s="9">
        <v>0</v>
      </c>
      <c r="I7" s="9">
        <v>0</v>
      </c>
      <c r="J7" s="9">
        <v>0</v>
      </c>
      <c r="K7" s="9">
        <v>0</v>
      </c>
      <c r="L7" s="9">
        <v>0</v>
      </c>
      <c r="M7" s="9">
        <v>0</v>
      </c>
      <c r="N7" s="9">
        <v>0</v>
      </c>
      <c r="O7" s="9">
        <v>0</v>
      </c>
    </row>
    <row r="8" spans="1:23" ht="29.4"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899999999999999" customHeight="1" thickBot="1">
      <c r="A11" s="880" t="s">
        <v>49</v>
      </c>
      <c r="B11" s="881"/>
      <c r="C11" s="881"/>
      <c r="D11" s="881"/>
      <c r="E11" s="881"/>
      <c r="F11" s="882"/>
      <c r="G11" s="11"/>
      <c r="H11" s="883" t="s">
        <v>64</v>
      </c>
      <c r="I11" s="884"/>
      <c r="J11" s="884"/>
      <c r="K11" s="884"/>
      <c r="L11" s="884"/>
      <c r="M11" s="884"/>
      <c r="N11" s="884"/>
      <c r="O11" s="884"/>
      <c r="P11" s="885"/>
    </row>
    <row r="12" spans="1:23" ht="28.8">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29.4"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28.8">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899999999999999"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29.4"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80">
        <v>2017</v>
      </c>
      <c r="B21" s="881"/>
      <c r="C21" s="881"/>
      <c r="D21" s="881"/>
      <c r="E21" s="881"/>
      <c r="F21" s="882"/>
      <c r="H21" s="886" t="s">
        <v>451</v>
      </c>
      <c r="I21" s="887"/>
      <c r="K21" s="842" t="s">
        <v>1616</v>
      </c>
    </row>
    <row r="22" spans="1:16" ht="28.8">
      <c r="A22" s="5"/>
      <c r="B22" s="6" t="s">
        <v>51</v>
      </c>
      <c r="C22" s="6" t="s">
        <v>52</v>
      </c>
      <c r="D22" s="6" t="s">
        <v>53</v>
      </c>
      <c r="E22" s="6" t="s">
        <v>54</v>
      </c>
      <c r="F22" s="7" t="s">
        <v>55</v>
      </c>
      <c r="H22" s="462" t="s">
        <v>24</v>
      </c>
      <c r="I22" s="661">
        <v>0.20150000000000001</v>
      </c>
      <c r="K22">
        <v>35</v>
      </c>
    </row>
    <row r="23" spans="1:16">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7" t="s">
        <v>64</v>
      </c>
      <c r="I27" s="877"/>
      <c r="J27" s="877"/>
      <c r="K27" s="877"/>
      <c r="L27" s="877"/>
    </row>
    <row r="28" spans="1:16" ht="28.8">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29.4"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A3" workbookViewId="0">
      <selection sqref="A1:E35"/>
    </sheetView>
  </sheetViews>
  <sheetFormatPr defaultRowHeight="14.4"/>
  <cols>
    <col min="1" max="1" width="12.77734375" bestFit="1" customWidth="1"/>
    <col min="2" max="2" width="13.6640625" customWidth="1"/>
    <col min="3" max="3" width="13.109375" bestFit="1" customWidth="1"/>
    <col min="4" max="4" width="12" bestFit="1" customWidth="1"/>
    <col min="5" max="5" width="16.88671875" bestFit="1" customWidth="1"/>
    <col min="6" max="6" width="28.21875" customWidth="1"/>
    <col min="8" max="8" width="28.33203125" bestFit="1" customWidth="1"/>
    <col min="9" max="9" width="9.88671875" customWidth="1"/>
    <col min="14" max="14" width="52.88671875" bestFit="1" customWidth="1"/>
    <col min="15" max="15" width="34" bestFit="1" customWidth="1"/>
    <col min="16" max="16" width="22.6640625" customWidth="1"/>
  </cols>
  <sheetData>
    <row r="1" spans="1:16" ht="29.4" thickBot="1">
      <c r="A1" s="730"/>
      <c r="B1" s="731" t="s">
        <v>1527</v>
      </c>
      <c r="C1" s="732" t="s">
        <v>1526</v>
      </c>
      <c r="D1" t="s">
        <v>44</v>
      </c>
      <c r="E1" t="s">
        <v>45</v>
      </c>
      <c r="H1" s="761"/>
      <c r="I1" s="762" t="s">
        <v>1527</v>
      </c>
      <c r="J1" s="762" t="s">
        <v>1526</v>
      </c>
      <c r="K1" t="s">
        <v>1567</v>
      </c>
      <c r="N1" t="s">
        <v>1570</v>
      </c>
      <c r="O1" t="s">
        <v>1604</v>
      </c>
      <c r="P1" t="s">
        <v>1571</v>
      </c>
    </row>
    <row r="2" spans="1:16">
      <c r="A2" s="733">
        <v>2017</v>
      </c>
      <c r="B2" s="728">
        <v>11</v>
      </c>
      <c r="C2" s="734">
        <v>9</v>
      </c>
      <c r="D2">
        <f>$O$15</f>
        <v>0.68063608294695532</v>
      </c>
      <c r="E2">
        <f t="shared" ref="E2:E16" si="0">(($O$5+$O$11)*$S$41+$O$19*$S$39+$O$14*$S$42+$O$29*$S$43)</f>
        <v>0.19413595038571463</v>
      </c>
      <c r="H2" s="763" t="s">
        <v>1558</v>
      </c>
      <c r="I2" s="764">
        <v>0.80164874544682474</v>
      </c>
      <c r="J2" s="765">
        <v>0.5371804060425911</v>
      </c>
      <c r="K2" t="s">
        <v>1568</v>
      </c>
      <c r="N2" t="s">
        <v>1572</v>
      </c>
      <c r="O2" s="804">
        <v>3.5051527600166668</v>
      </c>
      <c r="P2">
        <v>0</v>
      </c>
    </row>
    <row r="3" spans="1:16">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N8" t="s">
        <v>1578</v>
      </c>
      <c r="O8">
        <v>4.5562195754851598E-2</v>
      </c>
      <c r="P8">
        <v>0</v>
      </c>
    </row>
    <row r="9" spans="1:16">
      <c r="A9" s="733">
        <v>2024</v>
      </c>
      <c r="B9" s="729">
        <v>10.323283480592629</v>
      </c>
      <c r="C9" s="725">
        <v>8.4463228477576067</v>
      </c>
      <c r="D9">
        <f t="shared" si="1"/>
        <v>0.68063608294695532</v>
      </c>
      <c r="E9">
        <f t="shared" si="0"/>
        <v>0.19413595038571463</v>
      </c>
      <c r="N9" t="s">
        <v>1579</v>
      </c>
      <c r="O9">
        <v>0.11962505959760275</v>
      </c>
      <c r="P9">
        <v>0</v>
      </c>
    </row>
    <row r="10" spans="1:16">
      <c r="A10" s="733">
        <v>2025</v>
      </c>
      <c r="B10" s="729">
        <v>10.160712087197469</v>
      </c>
      <c r="C10" s="725">
        <v>8.313309889525204</v>
      </c>
      <c r="D10">
        <f t="shared" si="1"/>
        <v>0.68063608294695532</v>
      </c>
      <c r="E10">
        <f t="shared" si="0"/>
        <v>0.19413595038571463</v>
      </c>
      <c r="N10" t="s">
        <v>1580</v>
      </c>
      <c r="P10">
        <v>0</v>
      </c>
    </row>
    <row r="11" spans="1:16">
      <c r="A11" s="733">
        <v>2026</v>
      </c>
      <c r="B11" s="729">
        <v>10.000700873225854</v>
      </c>
      <c r="C11" s="725">
        <v>8.1823916235484297</v>
      </c>
      <c r="D11">
        <f t="shared" si="1"/>
        <v>0.68063608294695532</v>
      </c>
      <c r="E11">
        <f t="shared" si="0"/>
        <v>0.19413595038571463</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c r="A14" s="733">
        <v>2029</v>
      </c>
      <c r="B14" s="729">
        <v>9.5356282946203166</v>
      </c>
      <c r="C14" s="725">
        <v>7.8018776955984439</v>
      </c>
      <c r="D14">
        <f t="shared" si="1"/>
        <v>0.68063608294695532</v>
      </c>
      <c r="E14">
        <f t="shared" si="0"/>
        <v>0.19413595038571463</v>
      </c>
      <c r="N14" s="803" t="s">
        <v>1584</v>
      </c>
      <c r="O14" s="804">
        <v>0.63751326028738309</v>
      </c>
      <c r="P14" s="803">
        <v>4.8</v>
      </c>
    </row>
    <row r="15" spans="1:16">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2">(($O$5+$O$11)*$S$41+$O$19*$S$39+$O$14*$S$42+$O$29*$S$43)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2"/>
        <v>0.19413595038571463</v>
      </c>
      <c r="N18" t="s">
        <v>1588</v>
      </c>
      <c r="O18">
        <v>0.11760626242009133</v>
      </c>
      <c r="P18">
        <v>89.933333333333337</v>
      </c>
    </row>
    <row r="19" spans="1:16" ht="15" thickBot="1">
      <c r="A19" s="733">
        <v>2034</v>
      </c>
      <c r="B19" s="736">
        <v>9.237658385730203</v>
      </c>
      <c r="C19" s="726">
        <v>7.5580841337792597</v>
      </c>
      <c r="D19">
        <f t="shared" si="1"/>
        <v>0.68063608294695532</v>
      </c>
      <c r="E19">
        <f t="shared" si="2"/>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2"/>
        <v>0.19413595038571463</v>
      </c>
      <c r="N20" t="s">
        <v>1590</v>
      </c>
      <c r="O20">
        <v>1.2577542030141036E-2</v>
      </c>
      <c r="P20">
        <v>442.2</v>
      </c>
    </row>
    <row r="21" spans="1:16" ht="15" thickBot="1">
      <c r="A21" s="733">
        <v>2036</v>
      </c>
      <c r="B21" s="736">
        <v>9.237658385730203</v>
      </c>
      <c r="C21" s="726">
        <v>7.5580841337792597</v>
      </c>
      <c r="D21">
        <f t="shared" si="1"/>
        <v>0.68063608294695532</v>
      </c>
      <c r="E21">
        <f t="shared" si="2"/>
        <v>0.19413595038571463</v>
      </c>
      <c r="N21" t="s">
        <v>1591</v>
      </c>
      <c r="O21">
        <v>1.2296446583391874E-2</v>
      </c>
      <c r="P21">
        <v>1200.8</v>
      </c>
    </row>
    <row r="22" spans="1:16" ht="15" thickBot="1">
      <c r="A22" s="733">
        <v>2037</v>
      </c>
      <c r="B22" s="736">
        <v>9.237658385730203</v>
      </c>
      <c r="C22" s="726">
        <v>7.5580841337792597</v>
      </c>
      <c r="D22">
        <f t="shared" si="1"/>
        <v>0.68063608294695532</v>
      </c>
      <c r="E22">
        <f t="shared" si="2"/>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2"/>
        <v>0.19413595038571463</v>
      </c>
      <c r="N23" t="s">
        <v>1593</v>
      </c>
      <c r="O23">
        <v>6.7512796088542489E-3</v>
      </c>
      <c r="P23">
        <v>0</v>
      </c>
    </row>
    <row r="24" spans="1:16" ht="15" thickBot="1">
      <c r="A24" s="733">
        <v>2039</v>
      </c>
      <c r="B24" s="736">
        <v>9.237658385730203</v>
      </c>
      <c r="C24" s="726">
        <v>7.5580841337792597</v>
      </c>
      <c r="D24">
        <f t="shared" si="1"/>
        <v>0.68063608294695532</v>
      </c>
      <c r="E24">
        <f t="shared" si="2"/>
        <v>0.19413595038571463</v>
      </c>
      <c r="N24" t="s">
        <v>1594</v>
      </c>
      <c r="O24">
        <v>1.7340537136635963E-2</v>
      </c>
      <c r="P24">
        <v>0</v>
      </c>
    </row>
    <row r="25" spans="1:16" ht="15" thickBot="1">
      <c r="A25" s="733">
        <v>2040</v>
      </c>
      <c r="B25" s="736">
        <v>9.237658385730203</v>
      </c>
      <c r="C25" s="726">
        <v>7.5580841337792597</v>
      </c>
      <c r="D25">
        <f t="shared" si="1"/>
        <v>0.68063608294695532</v>
      </c>
      <c r="E25">
        <f t="shared" si="2"/>
        <v>0.19413595038571463</v>
      </c>
      <c r="N25" t="s">
        <v>1595</v>
      </c>
      <c r="O25">
        <v>3.5686034961125504E-2</v>
      </c>
      <c r="P25">
        <v>0</v>
      </c>
    </row>
    <row r="26" spans="1:16" ht="15" thickBot="1">
      <c r="A26" s="733">
        <v>2041</v>
      </c>
      <c r="B26" s="736">
        <v>9.237658385730203</v>
      </c>
      <c r="C26" s="726">
        <v>7.5580841337792597</v>
      </c>
      <c r="D26">
        <f t="shared" si="1"/>
        <v>0.68063608294695532</v>
      </c>
      <c r="E26">
        <f t="shared" si="2"/>
        <v>0.19413595038571463</v>
      </c>
      <c r="N26" t="s">
        <v>1596</v>
      </c>
      <c r="O26">
        <v>2.0116670107632094E-2</v>
      </c>
      <c r="P26">
        <v>0</v>
      </c>
    </row>
    <row r="27" spans="1:16" ht="15" thickBot="1">
      <c r="A27" s="733">
        <v>2042</v>
      </c>
      <c r="B27" s="736">
        <v>9.237658385730203</v>
      </c>
      <c r="C27" s="726">
        <v>7.5580841337792597</v>
      </c>
      <c r="D27">
        <f t="shared" si="1"/>
        <v>0.68063608294695532</v>
      </c>
      <c r="E27">
        <f t="shared" si="2"/>
        <v>0.19413595038571463</v>
      </c>
      <c r="N27" t="s">
        <v>1597</v>
      </c>
      <c r="O27">
        <v>1.2235091939046405E-2</v>
      </c>
      <c r="P27">
        <v>42.5</v>
      </c>
    </row>
    <row r="28" spans="1:16" ht="15" thickBot="1">
      <c r="A28" s="733">
        <v>2043</v>
      </c>
      <c r="B28" s="736">
        <v>9.237658385730203</v>
      </c>
      <c r="C28" s="726">
        <v>7.5580841337792597</v>
      </c>
      <c r="D28">
        <f t="shared" si="1"/>
        <v>0.68063608294695532</v>
      </c>
      <c r="E28">
        <f t="shared" si="2"/>
        <v>0.19413595038571463</v>
      </c>
      <c r="N28" t="s">
        <v>1598</v>
      </c>
      <c r="O28">
        <v>8.1897541486421529E-3</v>
      </c>
      <c r="P28">
        <v>0</v>
      </c>
    </row>
    <row r="29" spans="1:16" ht="15" thickBot="1">
      <c r="A29" s="733">
        <v>2044</v>
      </c>
      <c r="B29" s="736">
        <v>9.237658385730203</v>
      </c>
      <c r="C29" s="726">
        <v>7.5580841337792597</v>
      </c>
      <c r="D29">
        <f t="shared" si="1"/>
        <v>0.68063608294695532</v>
      </c>
      <c r="E29">
        <f t="shared" si="2"/>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2"/>
        <v>0.19413595038571463</v>
      </c>
      <c r="N30" t="s">
        <v>1600</v>
      </c>
      <c r="O30">
        <v>1.6229729075922217</v>
      </c>
      <c r="P30">
        <v>0</v>
      </c>
    </row>
    <row r="31" spans="1:16" ht="15" thickBot="1">
      <c r="A31" s="735">
        <v>2046</v>
      </c>
      <c r="B31" s="736">
        <v>9.237658385730203</v>
      </c>
      <c r="C31" s="726">
        <v>7.5580841337792597</v>
      </c>
      <c r="D31">
        <f t="shared" si="1"/>
        <v>0.68063608294695532</v>
      </c>
      <c r="E31">
        <f t="shared" si="2"/>
        <v>0.19413595038571463</v>
      </c>
      <c r="N31" t="s">
        <v>1601</v>
      </c>
      <c r="O31">
        <v>0.1826849249069491</v>
      </c>
      <c r="P31">
        <v>0</v>
      </c>
    </row>
    <row r="32" spans="1:16" ht="15" thickBot="1">
      <c r="A32" s="733">
        <v>2047</v>
      </c>
      <c r="B32" s="736">
        <v>9.237658385730203</v>
      </c>
      <c r="C32" s="726">
        <v>7.5580841337792597</v>
      </c>
      <c r="D32">
        <f t="shared" si="1"/>
        <v>0.68063608294695532</v>
      </c>
      <c r="E32">
        <f t="shared" si="2"/>
        <v>0.19413595038571463</v>
      </c>
      <c r="N32" t="s">
        <v>1602</v>
      </c>
      <c r="O32">
        <v>2.9890430339490939</v>
      </c>
      <c r="P32">
        <v>0</v>
      </c>
    </row>
    <row r="33" spans="1:19" ht="15" thickBot="1">
      <c r="A33" s="733">
        <v>2048</v>
      </c>
      <c r="B33" s="736">
        <v>9.237658385730203</v>
      </c>
      <c r="C33" s="726">
        <v>7.5580841337792597</v>
      </c>
      <c r="D33">
        <f t="shared" si="1"/>
        <v>0.68063608294695532</v>
      </c>
      <c r="E33">
        <f t="shared" si="2"/>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2"/>
        <v>0.19413595038571463</v>
      </c>
    </row>
    <row r="35" spans="1:19" ht="15" thickBot="1">
      <c r="A35" s="733">
        <v>2050</v>
      </c>
      <c r="B35" s="736">
        <v>9.237658385730203</v>
      </c>
      <c r="C35" s="726">
        <v>7.5580841337792597</v>
      </c>
      <c r="D35">
        <f t="shared" si="1"/>
        <v>0.68063608294695532</v>
      </c>
      <c r="E35">
        <f t="shared" si="2"/>
        <v>0.19413595038571463</v>
      </c>
    </row>
    <row r="37" spans="1:19" ht="15" thickBot="1"/>
    <row r="38" spans="1:19">
      <c r="N38" s="888" t="s">
        <v>1541</v>
      </c>
      <c r="O38" s="889"/>
      <c r="R38" s="890" t="s">
        <v>1605</v>
      </c>
      <c r="S38" s="890"/>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21" zoomScale="70" zoomScaleNormal="70" workbookViewId="0">
      <selection activeCell="O38" sqref="O38"/>
    </sheetView>
  </sheetViews>
  <sheetFormatPr defaultRowHeight="14.4"/>
  <cols>
    <col min="1" max="1" width="25.6640625" bestFit="1" customWidth="1"/>
    <col min="2" max="2" width="15.33203125" bestFit="1" customWidth="1"/>
    <col min="3" max="3" width="10.33203125" bestFit="1" customWidth="1"/>
    <col min="4" max="5" width="15" bestFit="1" customWidth="1"/>
    <col min="6" max="6" width="18.88671875" bestFit="1" customWidth="1"/>
    <col min="7" max="7" width="20" bestFit="1" customWidth="1"/>
    <col min="8" max="8" width="12.77734375" bestFit="1" customWidth="1"/>
    <col min="9" max="9" width="20" bestFit="1" customWidth="1"/>
    <col min="11" max="11" width="7.6640625" bestFit="1" customWidth="1"/>
    <col min="12" max="12" width="25.6640625" bestFit="1" customWidth="1"/>
    <col min="13" max="13" width="19.6640625" customWidth="1"/>
    <col min="14" max="14" width="13.6640625" customWidth="1"/>
    <col min="15" max="16" width="13" customWidth="1"/>
    <col min="17" max="17" width="13.77734375" bestFit="1" customWidth="1"/>
    <col min="18" max="18" width="17.33203125" bestFit="1" customWidth="1"/>
    <col min="19" max="19" width="16.88671875" bestFit="1" customWidth="1"/>
  </cols>
  <sheetData>
    <row r="1" spans="1:23" ht="18.600000000000001" thickBot="1">
      <c r="A1" s="894" t="s">
        <v>1532</v>
      </c>
      <c r="B1" s="895"/>
      <c r="C1" s="895"/>
      <c r="D1" s="895"/>
      <c r="E1" s="895"/>
      <c r="F1" s="895"/>
      <c r="G1" s="895"/>
      <c r="H1" s="895"/>
      <c r="I1" s="896"/>
      <c r="L1" s="761"/>
      <c r="M1" s="762" t="s">
        <v>1527</v>
      </c>
      <c r="N1" s="762" t="s">
        <v>1526</v>
      </c>
      <c r="Q1" s="891" t="s">
        <v>1540</v>
      </c>
      <c r="R1" s="892"/>
      <c r="S1" s="892"/>
      <c r="T1" s="892"/>
      <c r="U1" s="892"/>
      <c r="V1" s="892"/>
      <c r="W1" s="893"/>
    </row>
    <row r="2" spans="1:23">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6">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6">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6">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6">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6">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2"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6">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6">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6">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6">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6">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6">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6">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6.2"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2"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2"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2"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2"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2"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2"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2"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2"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2"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2"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2"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2"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2"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2"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2"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2"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2"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2"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72">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97" t="s">
        <v>1534</v>
      </c>
      <c r="B40" s="898"/>
      <c r="C40" s="898"/>
      <c r="D40" s="898"/>
      <c r="E40" s="898"/>
      <c r="F40" s="898"/>
      <c r="G40" s="898"/>
      <c r="H40" s="898"/>
      <c r="I40" s="898"/>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2"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2"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2"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6">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6">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6">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6">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6">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6">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6">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6">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6">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6">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6">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6">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6">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2"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6">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6">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2"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2"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2"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2"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2"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2"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2"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2"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2"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2"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2"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6.2"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6.2"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6.2"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6.2"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zoomScale="115" zoomScaleNormal="115" workbookViewId="0">
      <selection activeCell="G38" sqref="G38"/>
    </sheetView>
  </sheetViews>
  <sheetFormatPr defaultRowHeight="14.4"/>
  <cols>
    <col min="1" max="1" width="46.21875" customWidth="1"/>
    <col min="2" max="2" width="19.21875" bestFit="1" customWidth="1"/>
    <col min="3" max="3" width="32.6640625" bestFit="1" customWidth="1"/>
    <col min="4" max="4" width="18" bestFit="1" customWidth="1"/>
    <col min="5" max="5" width="17.33203125" customWidth="1"/>
    <col min="6" max="6" width="15.21875" bestFit="1" customWidth="1"/>
    <col min="7" max="7" width="12.33203125" bestFit="1" customWidth="1"/>
    <col min="8" max="8" width="20.33203125" customWidth="1"/>
    <col min="9" max="9" width="11.6640625" customWidth="1"/>
    <col min="10" max="10" width="40" customWidth="1"/>
    <col min="11" max="11" width="14" bestFit="1" customWidth="1"/>
    <col min="13" max="13" width="45.6640625" bestFit="1" customWidth="1"/>
    <col min="14" max="14" width="14.77734375" bestFit="1" customWidth="1"/>
    <col min="15" max="15" width="38.109375" customWidth="1"/>
    <col min="18" max="18" width="27.6640625" customWidth="1"/>
  </cols>
  <sheetData>
    <row r="1" spans="1:18" ht="18.600000000000001" thickBot="1">
      <c r="A1" s="886" t="s">
        <v>164</v>
      </c>
      <c r="B1" s="902"/>
      <c r="C1" s="902"/>
      <c r="D1" s="902"/>
      <c r="E1" s="902"/>
      <c r="F1" s="902"/>
      <c r="G1" s="902"/>
      <c r="H1" s="902"/>
      <c r="I1" s="902"/>
      <c r="J1" s="902"/>
      <c r="K1" s="902"/>
      <c r="L1" s="902"/>
      <c r="M1" s="902"/>
      <c r="N1" s="902"/>
      <c r="O1" s="903"/>
    </row>
    <row r="2" spans="1:18" ht="28.8">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2"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600000000000001" thickBot="1">
      <c r="A12" s="880" t="s">
        <v>49</v>
      </c>
      <c r="B12" s="881"/>
      <c r="C12" s="881"/>
      <c r="D12" s="881"/>
      <c r="E12" s="881"/>
      <c r="F12" s="882"/>
      <c r="J12" s="883" t="s">
        <v>125</v>
      </c>
      <c r="K12" s="885"/>
    </row>
    <row r="13" spans="1:18" ht="1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600000000000001" thickBot="1">
      <c r="A16" s="899">
        <v>2017</v>
      </c>
      <c r="B16" s="900"/>
      <c r="C16" s="900"/>
      <c r="D16" s="900"/>
      <c r="E16" s="900"/>
      <c r="F16" s="901"/>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29.4"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899999999999999" customHeight="1" thickBot="1">
      <c r="A27" s="899" t="s">
        <v>1617</v>
      </c>
      <c r="B27" s="900"/>
      <c r="C27" s="900"/>
      <c r="D27" s="900"/>
      <c r="E27" s="900"/>
      <c r="F27" s="900"/>
      <c r="G27" s="901"/>
      <c r="J27" s="148" t="s">
        <v>137</v>
      </c>
      <c r="K27" s="149" t="s">
        <v>127</v>
      </c>
      <c r="M27" s="148" t="s">
        <v>155</v>
      </c>
      <c r="N27" s="153" t="s">
        <v>161</v>
      </c>
      <c r="O27" s="153" t="s">
        <v>160</v>
      </c>
      <c r="P27" s="154" t="s">
        <v>162</v>
      </c>
      <c r="R27" s="140" t="s">
        <v>163</v>
      </c>
    </row>
    <row r="28" spans="1:18" ht="1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600000000000001" thickBot="1">
      <c r="A31" s="899" t="s">
        <v>1618</v>
      </c>
      <c r="B31" s="900"/>
      <c r="C31" s="900"/>
      <c r="D31" s="900"/>
      <c r="E31" s="900"/>
      <c r="F31" s="900"/>
      <c r="G31" s="90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4" t="s">
        <v>476</v>
      </c>
      <c r="B35" s="878"/>
      <c r="C35" s="878"/>
      <c r="D35" s="878"/>
      <c r="E35" s="878"/>
      <c r="F35" s="878"/>
      <c r="G35" s="878"/>
      <c r="J35" s="148" t="s">
        <v>173</v>
      </c>
      <c r="K35" s="152" t="s">
        <v>141</v>
      </c>
      <c r="L35" s="152" t="s">
        <v>142</v>
      </c>
      <c r="M35" s="149" t="s">
        <v>16</v>
      </c>
      <c r="O35" s="649" t="s">
        <v>1492</v>
      </c>
      <c r="P35" s="7"/>
    </row>
    <row r="36" spans="1:16">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600000000000001" thickBot="1">
      <c r="A46" s="899" t="s">
        <v>477</v>
      </c>
      <c r="B46" s="900"/>
      <c r="C46" s="900"/>
      <c r="D46" s="900"/>
      <c r="E46" s="900"/>
      <c r="F46" s="901"/>
    </row>
    <row r="47" spans="1:16">
      <c r="A47" s="124" t="s">
        <v>127</v>
      </c>
      <c r="B47" s="13" t="s">
        <v>44</v>
      </c>
      <c r="C47" s="13" t="s">
        <v>45</v>
      </c>
      <c r="D47" s="13" t="s">
        <v>47</v>
      </c>
      <c r="E47" s="13" t="s">
        <v>48</v>
      </c>
      <c r="F47" s="14" t="s">
        <v>165</v>
      </c>
    </row>
    <row r="48" spans="1:16">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c r="A49" s="112" t="s">
        <v>156</v>
      </c>
      <c r="C49" s="163">
        <f t="shared" ref="B49:C54" si="2">C$29*C38/1000</f>
        <v>54789.276661541095</v>
      </c>
      <c r="D49" s="163">
        <f t="shared" ref="D49:F54" si="3">D$29*D38/1000</f>
        <v>8664.8000676048796</v>
      </c>
      <c r="E49" s="163">
        <f t="shared" si="3"/>
        <v>1034.6306425811695</v>
      </c>
      <c r="F49" s="163">
        <f t="shared" si="3"/>
        <v>0</v>
      </c>
    </row>
    <row r="50" spans="1:7">
      <c r="A50" s="112" t="s">
        <v>170</v>
      </c>
      <c r="B50" s="163">
        <f>B$29*B38/1000</f>
        <v>0</v>
      </c>
      <c r="C50" s="163">
        <f t="shared" si="2"/>
        <v>0</v>
      </c>
      <c r="D50" s="163">
        <f t="shared" si="3"/>
        <v>4.3191007630928206E-4</v>
      </c>
      <c r="E50" s="163">
        <f t="shared" si="3"/>
        <v>1.5530805857529788E-4</v>
      </c>
      <c r="F50" s="163">
        <f t="shared" si="3"/>
        <v>0</v>
      </c>
    </row>
    <row r="51" spans="1:7">
      <c r="A51" s="112" t="s">
        <v>144</v>
      </c>
      <c r="B51" s="163">
        <f t="shared" si="2"/>
        <v>739.23756000000003</v>
      </c>
      <c r="C51" s="163">
        <f t="shared" si="2"/>
        <v>5225.116115053148</v>
      </c>
      <c r="D51" s="163">
        <f t="shared" si="3"/>
        <v>16.065432368018907</v>
      </c>
      <c r="E51" s="163">
        <f t="shared" si="3"/>
        <v>1.9183118461569262</v>
      </c>
      <c r="F51" s="163">
        <f t="shared" si="3"/>
        <v>0</v>
      </c>
    </row>
    <row r="52" spans="1:7">
      <c r="A52" s="112" t="s">
        <v>168</v>
      </c>
      <c r="B52" s="163">
        <f t="shared" si="2"/>
        <v>100586144.40000002</v>
      </c>
      <c r="C52" s="163">
        <f t="shared" si="2"/>
        <v>7368100.9644000046</v>
      </c>
      <c r="D52" s="163">
        <f t="shared" si="3"/>
        <v>0</v>
      </c>
      <c r="E52" s="163">
        <f t="shared" si="3"/>
        <v>0</v>
      </c>
      <c r="F52" s="163">
        <f t="shared" si="3"/>
        <v>233.45148934991431</v>
      </c>
    </row>
    <row r="53" spans="1:7">
      <c r="A53" s="112" t="s">
        <v>172</v>
      </c>
      <c r="B53" s="163">
        <f t="shared" si="2"/>
        <v>0</v>
      </c>
      <c r="C53" s="163">
        <f t="shared" si="2"/>
        <v>7.336197705929437</v>
      </c>
      <c r="D53" s="163">
        <f t="shared" si="3"/>
        <v>17.075498057480921</v>
      </c>
      <c r="E53" s="163">
        <f t="shared" si="3"/>
        <v>2.03891992772644</v>
      </c>
      <c r="F53" s="163">
        <f t="shared" si="3"/>
        <v>0</v>
      </c>
    </row>
    <row r="54" spans="1:7" ht="15" thickBot="1">
      <c r="A54" s="115" t="s">
        <v>169</v>
      </c>
      <c r="B54" s="163">
        <f t="shared" si="2"/>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44" zoomScaleNormal="100" workbookViewId="0">
      <selection activeCell="D64" sqref="D64:D66"/>
    </sheetView>
  </sheetViews>
  <sheetFormatPr defaultColWidth="8.77734375" defaultRowHeight="14.4"/>
  <cols>
    <col min="1" max="1" width="24.33203125" customWidth="1"/>
    <col min="2" max="2" width="20.109375" bestFit="1" customWidth="1"/>
    <col min="3" max="3" width="20.88671875" bestFit="1" customWidth="1"/>
    <col min="4" max="4" width="17.109375" bestFit="1" customWidth="1"/>
    <col min="5" max="5" width="17.33203125" bestFit="1" customWidth="1"/>
    <col min="6" max="6" width="19.88671875" bestFit="1" customWidth="1"/>
    <col min="7" max="7" width="18.88671875" bestFit="1" customWidth="1"/>
    <col min="8" max="8" width="17.109375" bestFit="1" customWidth="1"/>
    <col min="9" max="9" width="22.109375" bestFit="1" customWidth="1"/>
    <col min="10" max="10" width="18.109375" bestFit="1" customWidth="1"/>
    <col min="11" max="11" width="18.88671875" bestFit="1" customWidth="1"/>
    <col min="12" max="12" width="20.88671875" bestFit="1" customWidth="1"/>
    <col min="13" max="14" width="14.6640625" bestFit="1" customWidth="1"/>
    <col min="15" max="15" width="22.109375" bestFit="1" customWidth="1"/>
    <col min="16" max="16" width="17.109375" customWidth="1"/>
    <col min="17" max="17" width="17" bestFit="1" customWidth="1"/>
    <col min="18" max="18" width="3.88671875" bestFit="1" customWidth="1"/>
    <col min="19" max="19" width="18" bestFit="1" customWidth="1"/>
    <col min="20" max="20" width="11.77734375" bestFit="1" customWidth="1"/>
    <col min="21" max="21" width="14.77734375" bestFit="1" customWidth="1"/>
    <col min="22" max="23" width="11.77734375" bestFit="1" customWidth="1"/>
    <col min="24" max="24" width="12.77734375" bestFit="1" customWidth="1"/>
    <col min="25" max="25" width="17" bestFit="1" customWidth="1"/>
    <col min="26" max="26" width="11.88671875" customWidth="1"/>
    <col min="28" max="28" width="18" bestFit="1" customWidth="1"/>
    <col min="29" max="29" width="11.33203125" customWidth="1"/>
    <col min="30" max="30" width="11" bestFit="1" customWidth="1"/>
    <col min="31" max="31" width="8.21875" bestFit="1" customWidth="1"/>
    <col min="32" max="32" width="10.21875" customWidth="1"/>
    <col min="33" max="33" width="17" bestFit="1" customWidth="1"/>
    <col min="34" max="34" width="11" bestFit="1" customWidth="1"/>
    <col min="35" max="35" width="9.109375" bestFit="1" customWidth="1"/>
    <col min="37" max="37" width="18" bestFit="1" customWidth="1"/>
    <col min="38" max="38" width="18.88671875" bestFit="1" customWidth="1"/>
    <col min="39" max="39" width="14.77734375" bestFit="1" customWidth="1"/>
    <col min="40" max="40" width="9.109375" bestFit="1" customWidth="1"/>
    <col min="41" max="41" width="10.33203125" customWidth="1"/>
    <col min="42" max="42" width="9.109375" bestFit="1" customWidth="1"/>
    <col min="43" max="43" width="10.21875" bestFit="1" customWidth="1"/>
    <col min="44" max="44" width="9.109375" bestFit="1" customWidth="1"/>
    <col min="46" max="46" width="18" bestFit="1" customWidth="1"/>
    <col min="47" max="47" width="8.77734375" bestFit="1" customWidth="1"/>
    <col min="48" max="48" width="11.109375" bestFit="1" customWidth="1"/>
    <col min="49" max="49" width="8.21875" bestFit="1" customWidth="1"/>
    <col min="50" max="50" width="9.88671875" bestFit="1" customWidth="1"/>
    <col min="51" max="52" width="9.77734375" bestFit="1" customWidth="1"/>
    <col min="53" max="53" width="9.109375" bestFit="1" customWidth="1"/>
    <col min="55" max="55" width="18" bestFit="1" customWidth="1"/>
    <col min="56" max="56" width="11" bestFit="1" customWidth="1"/>
    <col min="57" max="57" width="12.6640625" bestFit="1" customWidth="1"/>
    <col min="58" max="58" width="9.88671875" bestFit="1" customWidth="1"/>
    <col min="59" max="59" width="9.21875" bestFit="1" customWidth="1"/>
    <col min="60" max="61" width="10.21875" bestFit="1" customWidth="1"/>
    <col min="62" max="62" width="9.109375" bestFit="1" customWidth="1"/>
  </cols>
  <sheetData>
    <row r="1" spans="1:16384" ht="19.5" customHeight="1" thickBot="1">
      <c r="A1" s="908" t="s">
        <v>43</v>
      </c>
      <c r="B1" s="909"/>
      <c r="C1" s="909"/>
      <c r="D1" s="909"/>
      <c r="E1" s="909"/>
      <c r="F1" s="909"/>
      <c r="G1" s="909"/>
      <c r="H1" s="909"/>
      <c r="I1" s="909"/>
      <c r="J1" s="909"/>
      <c r="K1" s="909"/>
      <c r="L1" s="909"/>
      <c r="M1" s="909"/>
      <c r="N1" s="909"/>
      <c r="O1" s="90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28.8">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399999999999999"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899999999999999" customHeight="1" thickBot="1">
      <c r="A12" s="910" t="s">
        <v>1503</v>
      </c>
      <c r="B12" s="911"/>
      <c r="C12" s="911"/>
      <c r="D12" s="911"/>
      <c r="E12" s="911"/>
      <c r="F12" s="911"/>
      <c r="G12" s="911"/>
      <c r="H12" s="912"/>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600000000000001" thickBot="1">
      <c r="A23" s="220"/>
      <c r="B23" s="220" t="s">
        <v>366</v>
      </c>
      <c r="C23" s="49"/>
      <c r="D23" s="49"/>
      <c r="E23" s="49"/>
      <c r="F23" s="49"/>
      <c r="G23" s="49"/>
      <c r="H23" s="49"/>
      <c r="I23" s="49"/>
      <c r="J23" s="913" t="s">
        <v>99</v>
      </c>
      <c r="K23" s="914"/>
      <c r="L23" s="914"/>
      <c r="M23" s="914"/>
      <c r="N23" s="914"/>
      <c r="O23" s="914"/>
      <c r="P23" s="914"/>
      <c r="Q23" s="915"/>
      <c r="R23" s="49"/>
      <c r="S23" s="913" t="s">
        <v>101</v>
      </c>
      <c r="T23" s="914"/>
      <c r="U23" s="914"/>
      <c r="V23" s="914"/>
      <c r="W23" s="914"/>
      <c r="X23" s="914"/>
      <c r="Y23" s="914"/>
      <c r="Z23" s="915"/>
      <c r="AA23" s="49"/>
      <c r="AB23" s="913" t="s">
        <v>103</v>
      </c>
      <c r="AC23" s="914"/>
      <c r="AD23" s="914"/>
      <c r="AE23" s="914"/>
      <c r="AF23" s="914"/>
      <c r="AG23" s="914"/>
      <c r="AH23" s="914"/>
      <c r="AI23" s="915"/>
      <c r="AJ23" s="49"/>
      <c r="AK23" s="913" t="s">
        <v>102</v>
      </c>
      <c r="AL23" s="914"/>
      <c r="AM23" s="914"/>
      <c r="AN23" s="914"/>
      <c r="AO23" s="914"/>
      <c r="AP23" s="914"/>
      <c r="AQ23" s="914"/>
      <c r="AR23" s="915"/>
      <c r="AS23" s="49"/>
      <c r="AT23" s="905" t="s">
        <v>104</v>
      </c>
      <c r="AU23" s="906"/>
      <c r="AV23" s="906"/>
      <c r="AW23" s="906"/>
      <c r="AX23" s="906"/>
      <c r="AY23" s="906"/>
      <c r="AZ23" s="906"/>
      <c r="BA23" s="907"/>
      <c r="BB23" s="49"/>
      <c r="BC23" s="916" t="s">
        <v>105</v>
      </c>
      <c r="BD23" s="917"/>
      <c r="BE23" s="917"/>
      <c r="BF23" s="917"/>
      <c r="BG23" s="917"/>
      <c r="BH23" s="917"/>
      <c r="BI23" s="917"/>
      <c r="BJ23" s="918"/>
      <c r="BK23" s="49"/>
      <c r="BL23" s="22"/>
    </row>
    <row r="24" spans="1:64" ht="43.2">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600000000000001" thickBot="1">
      <c r="A32" s="905" t="s">
        <v>483</v>
      </c>
      <c r="B32" s="906"/>
      <c r="C32" s="906"/>
      <c r="D32" s="906"/>
      <c r="E32" s="906"/>
      <c r="F32" s="906"/>
      <c r="G32" s="906"/>
      <c r="H32" s="907"/>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600000000000001"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05" t="s">
        <v>117</v>
      </c>
      <c r="K40" s="906"/>
      <c r="L40" s="906"/>
      <c r="M40" s="906"/>
      <c r="N40" s="906"/>
      <c r="O40" s="906"/>
      <c r="P40" s="906"/>
      <c r="Q40" s="907"/>
      <c r="R40" s="49"/>
      <c r="S40" s="913" t="s">
        <v>116</v>
      </c>
      <c r="T40" s="914"/>
      <c r="U40" s="914"/>
      <c r="V40" s="914"/>
      <c r="W40" s="914"/>
      <c r="X40" s="914"/>
      <c r="Y40" s="914"/>
      <c r="Z40" s="915"/>
      <c r="AA40" s="49"/>
      <c r="AB40" s="913" t="s">
        <v>115</v>
      </c>
      <c r="AC40" s="914"/>
      <c r="AD40" s="914"/>
      <c r="AE40" s="914"/>
      <c r="AF40" s="914"/>
      <c r="AG40" s="914"/>
      <c r="AH40" s="914"/>
      <c r="AI40" s="915"/>
      <c r="AJ40" s="49"/>
      <c r="AK40" s="913" t="s">
        <v>114</v>
      </c>
      <c r="AL40" s="914"/>
      <c r="AM40" s="914"/>
      <c r="AN40" s="914"/>
      <c r="AO40" s="914"/>
      <c r="AP40" s="914"/>
      <c r="AQ40" s="914"/>
      <c r="AR40" s="915"/>
      <c r="AS40" s="49"/>
      <c r="AT40" s="913" t="s">
        <v>113</v>
      </c>
      <c r="AU40" s="914"/>
      <c r="AV40" s="914"/>
      <c r="AW40" s="914"/>
      <c r="AX40" s="914"/>
      <c r="AY40" s="914"/>
      <c r="AZ40" s="914"/>
      <c r="BA40" s="915"/>
      <c r="BB40" s="49"/>
      <c r="BC40" s="913" t="s">
        <v>112</v>
      </c>
      <c r="BD40" s="914"/>
      <c r="BE40" s="914"/>
      <c r="BF40" s="914"/>
      <c r="BG40" s="914"/>
      <c r="BH40" s="914"/>
      <c r="BI40" s="914"/>
      <c r="BJ40" s="915"/>
      <c r="BK40" s="49"/>
      <c r="BL40" s="22"/>
    </row>
    <row r="41" spans="1:64" ht="43.2">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600000000000001" thickBot="1">
      <c r="A51" s="905" t="s">
        <v>120</v>
      </c>
      <c r="B51" s="906"/>
      <c r="C51" s="906"/>
      <c r="D51" s="906"/>
      <c r="E51" s="906"/>
      <c r="F51" s="907"/>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28.8">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M1" zoomScale="85" zoomScaleNormal="85" workbookViewId="0">
      <selection activeCell="X3" sqref="X3"/>
    </sheetView>
  </sheetViews>
  <sheetFormatPr defaultColWidth="8.77734375" defaultRowHeight="14.4"/>
  <cols>
    <col min="1" max="1" width="13.88671875" style="252" bestFit="1" customWidth="1"/>
    <col min="2" max="2" width="20.77734375" style="252" bestFit="1" customWidth="1"/>
    <col min="3" max="3" width="19.109375" style="252" bestFit="1" customWidth="1"/>
    <col min="4" max="4" width="19.6640625" style="252" bestFit="1" customWidth="1"/>
    <col min="5" max="5" width="22.33203125" style="252" bestFit="1" customWidth="1"/>
    <col min="6" max="6" width="19.109375" style="252" bestFit="1" customWidth="1"/>
    <col min="7" max="7" width="15.6640625" style="252" customWidth="1"/>
    <col min="8" max="9" width="22.6640625" style="252" customWidth="1"/>
    <col min="10" max="10" width="21.33203125" style="252" bestFit="1" customWidth="1"/>
    <col min="11" max="14" width="22.6640625" style="252" customWidth="1"/>
    <col min="15" max="15" width="36.21875" style="252" bestFit="1" customWidth="1"/>
    <col min="16" max="16" width="20" style="252" bestFit="1" customWidth="1"/>
    <col min="17" max="17" width="16.77734375" style="252" bestFit="1" customWidth="1"/>
    <col min="18" max="18" width="29.6640625" style="252" bestFit="1" customWidth="1"/>
    <col min="19" max="19" width="19.77734375" style="252" bestFit="1" customWidth="1"/>
    <col min="20" max="20" width="20" style="252" bestFit="1" customWidth="1"/>
    <col min="21" max="21" width="16.88671875" style="252" bestFit="1" customWidth="1"/>
    <col min="22" max="22" width="15.6640625" style="252" customWidth="1"/>
    <col min="23" max="23" width="16.77734375" style="252" bestFit="1" customWidth="1"/>
    <col min="24" max="24" width="23.33203125" style="252" customWidth="1"/>
    <col min="25" max="25" width="16.6640625" style="252" bestFit="1" customWidth="1"/>
    <col min="26" max="26" width="14.21875" style="252" bestFit="1" customWidth="1"/>
    <col min="27" max="27" width="15.21875" style="252" bestFit="1" customWidth="1"/>
    <col min="28" max="16384" width="8.77734375" style="252"/>
  </cols>
  <sheetData>
    <row r="1" spans="1:24" ht="18.600000000000001" thickBot="1">
      <c r="A1" s="922" t="s">
        <v>1497</v>
      </c>
      <c r="B1" s="923"/>
      <c r="C1" s="923"/>
      <c r="D1" s="923"/>
      <c r="E1" s="923"/>
      <c r="F1" s="924"/>
      <c r="G1" s="251"/>
      <c r="H1" s="939" t="s">
        <v>439</v>
      </c>
      <c r="I1" s="940"/>
      <c r="J1" s="940"/>
      <c r="K1" s="940"/>
      <c r="L1" s="940"/>
      <c r="M1" s="940"/>
      <c r="N1" s="940"/>
      <c r="O1" s="940"/>
      <c r="P1" s="941"/>
      <c r="R1" s="929" t="s">
        <v>446</v>
      </c>
      <c r="S1" s="930"/>
      <c r="T1" s="930"/>
      <c r="U1" s="931"/>
      <c r="V1" s="251"/>
      <c r="W1" s="929" t="s">
        <v>1488</v>
      </c>
      <c r="X1" s="930"/>
    </row>
    <row r="2" spans="1:24" ht="28.8">
      <c r="A2" s="291"/>
      <c r="B2" s="260"/>
      <c r="C2" s="261" t="s">
        <v>418</v>
      </c>
      <c r="D2" s="261" t="s">
        <v>1484</v>
      </c>
      <c r="E2" s="264" t="s">
        <v>417</v>
      </c>
      <c r="F2" s="265" t="s">
        <v>419</v>
      </c>
      <c r="H2" s="285"/>
      <c r="I2" s="925" t="s">
        <v>438</v>
      </c>
      <c r="J2" s="926"/>
      <c r="K2" s="936" t="s">
        <v>79</v>
      </c>
      <c r="L2" s="936"/>
      <c r="M2" s="925" t="s">
        <v>1501</v>
      </c>
      <c r="N2" s="945"/>
      <c r="O2" s="936" t="s">
        <v>440</v>
      </c>
      <c r="P2" s="937"/>
      <c r="R2" s="291"/>
      <c r="S2" s="296" t="s">
        <v>144</v>
      </c>
      <c r="T2" s="296" t="s">
        <v>448</v>
      </c>
      <c r="U2" s="297" t="s">
        <v>63</v>
      </c>
      <c r="V2" s="295"/>
      <c r="W2" s="623"/>
      <c r="X2" s="623" t="s">
        <v>1483</v>
      </c>
    </row>
    <row r="3" spans="1:24">
      <c r="A3" s="932"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21"/>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21"/>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21"/>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21"/>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20"/>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19"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20"/>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19"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21"/>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21"/>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21"/>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42" t="s">
        <v>1485</v>
      </c>
      <c r="S14" s="943"/>
      <c r="T14" s="944"/>
      <c r="U14" s="294"/>
      <c r="V14" s="294"/>
      <c r="W14" s="256" t="s">
        <v>437</v>
      </c>
      <c r="X14" s="308">
        <v>0</v>
      </c>
    </row>
    <row r="15" spans="1:24" ht="17.100000000000001" customHeight="1" thickBot="1">
      <c r="A15" s="921"/>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21"/>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21"/>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21"/>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600000000000001" thickBot="1">
      <c r="A19" s="921"/>
      <c r="B19" s="257" t="s">
        <v>406</v>
      </c>
      <c r="C19" s="249">
        <f>[6]סיכום!D25</f>
        <v>252145000</v>
      </c>
      <c r="D19" s="249">
        <f>[6]סיכום!E25</f>
        <v>825127616</v>
      </c>
      <c r="E19" s="249">
        <f>[6]סיכום!E25</f>
        <v>825127616</v>
      </c>
      <c r="F19" s="270">
        <f>[6]סיכום!F25</f>
        <v>851412000</v>
      </c>
      <c r="H19" s="922" t="s">
        <v>442</v>
      </c>
      <c r="I19" s="924"/>
      <c r="J19" s="248"/>
      <c r="K19" s="922" t="s">
        <v>444</v>
      </c>
      <c r="L19" s="924"/>
      <c r="M19" s="664"/>
      <c r="N19" s="664"/>
      <c r="R19" s="292" t="s">
        <v>408</v>
      </c>
      <c r="S19" s="249">
        <f>[6]סיכום!Z5</f>
        <v>2101</v>
      </c>
      <c r="T19" s="270" t="e">
        <f>[6]סיכום!AA5</f>
        <v>#REF!</v>
      </c>
      <c r="U19" s="294"/>
      <c r="V19" s="294"/>
    </row>
    <row r="20" spans="1:22" ht="17.100000000000001" customHeight="1">
      <c r="A20" s="921"/>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21"/>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 thickBot="1">
      <c r="A22" s="920"/>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600000000000001" thickBot="1">
      <c r="A24" s="929" t="s">
        <v>428</v>
      </c>
      <c r="B24" s="930"/>
      <c r="C24" s="930"/>
      <c r="D24" s="930"/>
      <c r="E24" s="931"/>
      <c r="F24" s="251"/>
      <c r="H24" s="256" t="s">
        <v>434</v>
      </c>
      <c r="I24" s="288">
        <v>0</v>
      </c>
      <c r="K24" s="256" t="s">
        <v>434</v>
      </c>
      <c r="L24" s="288">
        <v>0</v>
      </c>
      <c r="M24" s="665"/>
      <c r="N24" s="665"/>
    </row>
    <row r="25" spans="1:22">
      <c r="A25" s="291" t="s">
        <v>420</v>
      </c>
      <c r="B25" s="260" t="s">
        <v>123</v>
      </c>
      <c r="C25" s="261" t="s">
        <v>108</v>
      </c>
      <c r="D25" s="261" t="s">
        <v>48</v>
      </c>
      <c r="E25" s="262" t="s">
        <v>421</v>
      </c>
      <c r="H25" s="256" t="s">
        <v>435</v>
      </c>
      <c r="I25" s="288">
        <v>0</v>
      </c>
      <c r="K25" s="256" t="s">
        <v>435</v>
      </c>
      <c r="L25" s="288">
        <v>0</v>
      </c>
      <c r="M25" s="665"/>
      <c r="N25" s="665"/>
      <c r="O25" s="252">
        <f>I4+K4+O4-J4-L4-P4</f>
        <v>4467915.619603415</v>
      </c>
      <c r="R25" s="938"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38"/>
    </row>
    <row r="27" spans="1:22" ht="17.100000000000001" customHeight="1" thickBot="1">
      <c r="E27" s="248"/>
      <c r="H27" s="256" t="s">
        <v>405</v>
      </c>
      <c r="I27" s="288">
        <v>0.57383165458728425</v>
      </c>
      <c r="K27" s="256" t="s">
        <v>405</v>
      </c>
      <c r="L27" s="288">
        <v>0</v>
      </c>
      <c r="M27" s="665"/>
      <c r="N27" s="665"/>
    </row>
    <row r="28" spans="1:22" ht="18.600000000000001" thickBot="1">
      <c r="A28" s="929" t="s">
        <v>430</v>
      </c>
      <c r="B28" s="930"/>
      <c r="C28" s="930"/>
      <c r="D28" s="931"/>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29.4" thickBot="1">
      <c r="A38" s="266"/>
      <c r="B38" s="45"/>
      <c r="C38" s="248"/>
      <c r="D38" s="248"/>
      <c r="E38" s="248"/>
      <c r="F38" s="248"/>
      <c r="J38" s="469" t="s">
        <v>453</v>
      </c>
    </row>
    <row r="39" spans="1:27" ht="62.1" customHeight="1" thickBot="1">
      <c r="A39" s="927" t="s">
        <v>191</v>
      </c>
      <c r="B39" s="928"/>
      <c r="C39" s="928"/>
      <c r="D39" s="928"/>
      <c r="E39" s="928"/>
      <c r="F39" s="928"/>
      <c r="G39" s="928"/>
      <c r="H39" s="928"/>
      <c r="J39" s="466">
        <f>'[7]דלקים מנפט ופלסטיק בתעשייה'!$B$52</f>
        <v>1.4</v>
      </c>
      <c r="L39" s="933" t="s">
        <v>463</v>
      </c>
      <c r="M39" s="934"/>
      <c r="N39" s="934"/>
      <c r="O39" s="934"/>
      <c r="P39" s="934"/>
      <c r="Q39" s="934"/>
      <c r="R39" s="934"/>
      <c r="S39" s="934"/>
      <c r="T39" s="934"/>
      <c r="U39" s="934"/>
      <c r="V39" s="934"/>
      <c r="W39" s="934"/>
      <c r="X39" s="934"/>
      <c r="Y39" s="934"/>
      <c r="Z39" s="934"/>
      <c r="AA39" s="935"/>
    </row>
    <row r="40" spans="1:27" ht="58.2"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57.6">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58.2"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29.4"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28.8">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4"/>
  <cols>
    <col min="1" max="1" width="25.77734375" customWidth="1"/>
    <col min="2" max="2" width="22.77734375" customWidth="1"/>
    <col min="3" max="3" width="15.6640625" customWidth="1"/>
    <col min="4" max="4" width="26.21875" bestFit="1" customWidth="1"/>
    <col min="5" max="5" width="25.6640625" bestFit="1" customWidth="1"/>
    <col min="6" max="6" width="24.21875" bestFit="1" customWidth="1"/>
    <col min="7" max="7" width="32.109375" bestFit="1" customWidth="1"/>
    <col min="8" max="8" width="22.88671875" bestFit="1" customWidth="1"/>
    <col min="9" max="9" width="17" bestFit="1" customWidth="1"/>
    <col min="10" max="10" width="22.6640625" bestFit="1" customWidth="1"/>
    <col min="11" max="11" width="7.77734375" customWidth="1"/>
    <col min="12" max="12" width="49.88671875" bestFit="1" customWidth="1"/>
    <col min="13" max="13" width="20.77734375" customWidth="1"/>
    <col min="14" max="14" width="22.109375" customWidth="1"/>
    <col min="15" max="15" width="23" customWidth="1"/>
    <col min="16" max="16" width="16.33203125" customWidth="1"/>
    <col min="17" max="17" width="16.21875" bestFit="1" customWidth="1"/>
    <col min="18" max="18" width="13.33203125" bestFit="1" customWidth="1"/>
    <col min="19" max="19" width="22.88671875" customWidth="1"/>
    <col min="20" max="20" width="18.109375" bestFit="1" customWidth="1"/>
    <col min="21" max="21" width="12.88671875" bestFit="1" customWidth="1"/>
    <col min="22" max="22" width="29.21875" bestFit="1" customWidth="1"/>
    <col min="23" max="23" width="17.77734375" bestFit="1" customWidth="1"/>
    <col min="24" max="24" width="13.109375" bestFit="1" customWidth="1"/>
    <col min="25" max="25" width="12.88671875" bestFit="1" customWidth="1"/>
    <col min="26" max="26" width="15.109375" bestFit="1" customWidth="1"/>
    <col min="27" max="27" width="19.21875" bestFit="1" customWidth="1"/>
    <col min="28" max="28" width="13.109375" bestFit="1" customWidth="1"/>
    <col min="29" max="29" width="31.6640625" bestFit="1" customWidth="1"/>
    <col min="30" max="30" width="15.6640625" bestFit="1" customWidth="1"/>
  </cols>
  <sheetData>
    <row r="1" spans="1:22">
      <c r="A1" s="946"/>
      <c r="B1" s="947"/>
      <c r="C1" s="947"/>
      <c r="D1" s="947"/>
      <c r="E1" s="947"/>
      <c r="F1" s="947"/>
      <c r="G1" s="947"/>
      <c r="H1" s="947"/>
      <c r="I1" s="947"/>
      <c r="J1" s="947"/>
      <c r="K1" s="947"/>
      <c r="L1" s="947"/>
      <c r="M1" s="947"/>
      <c r="N1" s="947"/>
      <c r="O1" s="947"/>
      <c r="P1" s="947"/>
      <c r="Q1" s="947"/>
      <c r="R1" s="947"/>
    </row>
    <row r="2" spans="1:22" ht="57.6">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c r="A11" s="948" t="s">
        <v>1493</v>
      </c>
      <c r="B11" s="948"/>
      <c r="D11" s="212">
        <v>2017</v>
      </c>
      <c r="E11" s="209" t="s">
        <v>269</v>
      </c>
      <c r="F11" s="209" t="s">
        <v>208</v>
      </c>
      <c r="G11" s="209" t="s">
        <v>145</v>
      </c>
      <c r="H11" s="209" t="s">
        <v>209</v>
      </c>
      <c r="I11" s="209" t="s">
        <v>16</v>
      </c>
      <c r="J11" s="210" t="s">
        <v>270</v>
      </c>
    </row>
    <row r="12" spans="1:22">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 thickBot="1">
      <c r="A21" s="949" t="s">
        <v>206</v>
      </c>
      <c r="B21" s="950"/>
      <c r="C21" s="950"/>
      <c r="D21" s="950"/>
      <c r="E21" s="950"/>
      <c r="F21" s="95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5.6" thickTop="1" thickBot="1">
      <c r="A31" s="949" t="s">
        <v>219</v>
      </c>
      <c r="B31" s="950"/>
      <c r="C31" s="950"/>
      <c r="D31" s="950"/>
      <c r="E31" s="950"/>
      <c r="F31" s="950"/>
      <c r="G31" s="950"/>
      <c r="H31" s="950"/>
      <c r="I31" s="95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5.6"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2">
      <c r="A41" s="844" t="s">
        <v>1498</v>
      </c>
      <c r="B41" s="200" t="s">
        <v>1499</v>
      </c>
      <c r="C41" s="201" t="s">
        <v>1500</v>
      </c>
    </row>
    <row r="42" spans="1:30" ht="15" thickBot="1">
      <c r="A42" s="549"/>
      <c r="B42" s="321">
        <v>3.6999940357852882E-3</v>
      </c>
      <c r="C42" s="541">
        <v>0.10228891053677933</v>
      </c>
    </row>
    <row r="43" spans="1:30" ht="1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J87"/>
  <sheetViews>
    <sheetView zoomScale="70" zoomScaleNormal="70" workbookViewId="0">
      <pane xSplit="1" topLeftCell="S1" activePane="topRight" state="frozen"/>
      <selection activeCell="A46" sqref="A46"/>
      <selection pane="topRight" activeCell="AG5" sqref="AG5"/>
    </sheetView>
  </sheetViews>
  <sheetFormatPr defaultColWidth="8.77734375" defaultRowHeight="14.4"/>
  <cols>
    <col min="1" max="1" width="21.88671875" style="233" bestFit="1" customWidth="1"/>
    <col min="2" max="2" width="19.88671875" style="233" customWidth="1"/>
    <col min="3" max="3" width="18.88671875" style="233" customWidth="1"/>
    <col min="4" max="4" width="21.21875" style="233" customWidth="1"/>
    <col min="5" max="5" width="15.88671875" style="233" customWidth="1"/>
    <col min="6" max="6" width="8.77734375" style="233"/>
    <col min="7" max="7" width="33" style="233" bestFit="1" customWidth="1"/>
    <col min="8" max="9" width="20.6640625" style="233" customWidth="1"/>
    <col min="10" max="10" width="8.77734375" style="233"/>
    <col min="11" max="11" width="23.6640625" style="233" customWidth="1"/>
    <col min="12" max="12" width="20.6640625" style="233" customWidth="1"/>
    <col min="13" max="13" width="17.6640625" style="233" customWidth="1"/>
    <col min="14" max="14" width="23.6640625" style="233" customWidth="1"/>
    <col min="15" max="15" width="20.6640625" style="233" customWidth="1"/>
    <col min="16" max="16" width="8.77734375" style="233"/>
    <col min="17" max="17" width="28.33203125" style="233" bestFit="1" customWidth="1"/>
    <col min="18" max="18" width="8.77734375" style="233"/>
    <col min="19" max="20" width="16.109375" style="233" bestFit="1" customWidth="1"/>
    <col min="21" max="21" width="8.77734375" style="233"/>
    <col min="22" max="22" width="21.88671875" style="233" bestFit="1" customWidth="1"/>
    <col min="23" max="23" width="20.6640625" style="233" customWidth="1"/>
    <col min="24" max="24" width="17.21875" style="233" bestFit="1" customWidth="1"/>
    <col min="25" max="25" width="15.109375" style="233" bestFit="1" customWidth="1"/>
    <col min="26" max="26" width="17.88671875" style="233" bestFit="1" customWidth="1"/>
    <col min="27" max="27" width="13.109375" style="233" bestFit="1" customWidth="1"/>
    <col min="28" max="32" width="8.77734375" style="233"/>
    <col min="33" max="33" width="26.6640625" style="233" customWidth="1"/>
    <col min="34" max="34" width="8.77734375" style="233"/>
    <col min="35" max="35" width="21.109375" style="233" customWidth="1"/>
    <col min="36" max="16384" width="8.77734375" style="233"/>
  </cols>
  <sheetData>
    <row r="1" spans="1:36" s="825" customFormat="1" ht="19.5" customHeight="1" thickBot="1">
      <c r="A1" s="959" t="s">
        <v>274</v>
      </c>
      <c r="B1" s="960"/>
      <c r="C1" s="960"/>
      <c r="D1" s="960"/>
      <c r="E1" s="961"/>
      <c r="F1" s="233"/>
      <c r="G1" s="959" t="s">
        <v>1495</v>
      </c>
      <c r="H1" s="960"/>
      <c r="I1" s="961"/>
      <c r="J1" s="233"/>
      <c r="K1" s="967" t="s">
        <v>484</v>
      </c>
      <c r="L1" s="968"/>
      <c r="M1" s="969"/>
      <c r="N1" s="959" t="s">
        <v>275</v>
      </c>
      <c r="O1" s="961"/>
      <c r="P1" s="233"/>
      <c r="Q1" s="233"/>
      <c r="R1" s="233"/>
      <c r="S1" s="233"/>
      <c r="T1" s="233"/>
      <c r="U1" s="233"/>
      <c r="V1" s="952" t="s">
        <v>1544</v>
      </c>
      <c r="W1" s="953"/>
      <c r="X1" s="954"/>
      <c r="Y1" s="233"/>
      <c r="Z1" s="233"/>
      <c r="AA1" s="233"/>
      <c r="AB1" s="233"/>
      <c r="AC1" s="233"/>
      <c r="AD1" s="233"/>
      <c r="AE1" s="233"/>
      <c r="AF1" s="233"/>
    </row>
    <row r="2" spans="1:36" s="825" customFormat="1" ht="31.8" thickBot="1">
      <c r="A2" s="962"/>
      <c r="B2" s="963">
        <v>2017</v>
      </c>
      <c r="C2" s="963"/>
      <c r="D2" s="963"/>
      <c r="E2" s="964"/>
      <c r="F2" s="233"/>
      <c r="G2" s="962"/>
      <c r="H2" s="963">
        <v>2011</v>
      </c>
      <c r="I2" s="964"/>
      <c r="J2" s="233"/>
      <c r="K2" s="216"/>
      <c r="L2" s="230" t="s">
        <v>1505</v>
      </c>
      <c r="M2" s="230" t="s">
        <v>1504</v>
      </c>
      <c r="N2" s="217"/>
      <c r="O2" s="218">
        <v>2011</v>
      </c>
      <c r="P2" s="233"/>
      <c r="Q2" s="233"/>
      <c r="R2" s="233"/>
      <c r="S2" s="233"/>
      <c r="T2" s="233"/>
      <c r="U2" s="233"/>
      <c r="V2" s="955"/>
      <c r="W2" s="957">
        <v>2017</v>
      </c>
      <c r="X2" s="958"/>
      <c r="Y2" s="233"/>
      <c r="Z2" s="233"/>
      <c r="AA2" s="233"/>
      <c r="AB2" s="233"/>
      <c r="AC2" s="233"/>
      <c r="AD2" s="233"/>
      <c r="AE2" s="233"/>
      <c r="AF2" s="233"/>
      <c r="AG2" s="847" t="s">
        <v>1621</v>
      </c>
      <c r="AH2" s="848"/>
    </row>
    <row r="3" spans="1:36" s="825" customFormat="1" ht="30" customHeight="1" thickBot="1">
      <c r="A3" s="956"/>
      <c r="B3" s="965" t="s">
        <v>276</v>
      </c>
      <c r="C3" s="965"/>
      <c r="D3" s="965" t="s">
        <v>277</v>
      </c>
      <c r="E3" s="966"/>
      <c r="F3" s="233"/>
      <c r="G3" s="956"/>
      <c r="H3" s="231" t="s">
        <v>278</v>
      </c>
      <c r="I3" s="232" t="s">
        <v>279</v>
      </c>
      <c r="J3" s="233"/>
      <c r="K3" s="234" t="s">
        <v>280</v>
      </c>
      <c r="L3" s="716">
        <v>0.52</v>
      </c>
      <c r="M3" s="716">
        <v>0.52</v>
      </c>
      <c r="N3" s="234" t="s">
        <v>280</v>
      </c>
      <c r="O3" s="421">
        <f>[10]כמות!D2</f>
        <v>82189</v>
      </c>
      <c r="P3" s="233"/>
      <c r="Q3" s="233"/>
      <c r="R3" s="233"/>
      <c r="S3" s="233"/>
      <c r="T3" s="233"/>
      <c r="U3" s="233"/>
      <c r="V3" s="956"/>
      <c r="W3" s="231" t="s">
        <v>399</v>
      </c>
      <c r="X3" s="232" t="s">
        <v>400</v>
      </c>
      <c r="Y3" s="825" t="s">
        <v>1610</v>
      </c>
      <c r="Z3" s="825" t="s">
        <v>1611</v>
      </c>
      <c r="AA3" s="825" t="s">
        <v>1610</v>
      </c>
      <c r="AB3" s="233"/>
      <c r="AC3" s="233"/>
      <c r="AD3" s="233"/>
      <c r="AE3" s="233"/>
      <c r="AF3" s="233"/>
      <c r="AG3" s="849" t="s">
        <v>1622</v>
      </c>
      <c r="AI3" s="850" t="s">
        <v>1623</v>
      </c>
      <c r="AJ3" s="851">
        <f>4500000/AG69</f>
        <v>1.0445218004701116</v>
      </c>
    </row>
    <row r="4" spans="1:36" s="825" customFormat="1" ht="29.4" thickBot="1">
      <c r="A4" s="956"/>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759">
        <v>5.8</v>
      </c>
      <c r="X4" s="759">
        <v>3.9</v>
      </c>
      <c r="Y4" s="700">
        <f>W4*SUM(B5:C5)</f>
        <v>476696.2</v>
      </c>
      <c r="Z4" s="700">
        <f>Y4*1000</f>
        <v>476696200</v>
      </c>
      <c r="AA4" s="233">
        <f>X4*SUM(D5:E5)</f>
        <v>6330483.0206799991</v>
      </c>
      <c r="AB4" s="233"/>
      <c r="AC4" s="233"/>
      <c r="AD4" s="233"/>
      <c r="AE4" s="233"/>
      <c r="AF4" s="233"/>
      <c r="AG4" s="852">
        <f>(B5+C5)*W4</f>
        <v>476696.2</v>
      </c>
      <c r="AH4" s="848"/>
    </row>
    <row r="5" spans="1:36" s="825" customFormat="1" ht="18.600000000000001"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70" t="s">
        <v>286</v>
      </c>
      <c r="T5" s="971"/>
      <c r="U5" s="233"/>
      <c r="V5" s="234" t="s">
        <v>283</v>
      </c>
      <c r="W5" s="760">
        <v>0</v>
      </c>
      <c r="X5" s="759">
        <v>3.3</v>
      </c>
      <c r="Y5" s="700">
        <f t="shared" ref="Y5:Y67" si="0">W5*SUM(B6:C6)</f>
        <v>0</v>
      </c>
      <c r="Z5" s="700">
        <f t="shared" ref="Z5:Z67" si="1">Y5*1000</f>
        <v>0</v>
      </c>
      <c r="AA5" s="233">
        <f t="shared" ref="AA5:AA67" si="2">X5*SUM(D6:E6)</f>
        <v>302190.73499999999</v>
      </c>
      <c r="AB5" s="233"/>
      <c r="AC5" s="233"/>
      <c r="AD5" s="233"/>
      <c r="AE5" s="233"/>
      <c r="AF5" s="233"/>
      <c r="AG5" s="852">
        <f t="shared" ref="AG5:AG68" si="3">(B6+C6)*W5</f>
        <v>0</v>
      </c>
      <c r="AH5" s="848"/>
    </row>
    <row r="6" spans="1:36" s="825" customFormat="1" ht="1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8">
        <v>0.39045833165310667</v>
      </c>
      <c r="U6" s="233"/>
      <c r="V6" s="234" t="s">
        <v>284</v>
      </c>
      <c r="W6" s="759">
        <v>30.7</v>
      </c>
      <c r="X6" s="759">
        <v>1.7</v>
      </c>
      <c r="Y6" s="700">
        <f t="shared" si="0"/>
        <v>1461473.5</v>
      </c>
      <c r="Z6" s="700">
        <f t="shared" si="1"/>
        <v>1461473500</v>
      </c>
      <c r="AA6" s="233">
        <f t="shared" si="2"/>
        <v>18846.200000000004</v>
      </c>
      <c r="AB6" s="233"/>
      <c r="AC6" s="233"/>
      <c r="AD6" s="233"/>
      <c r="AE6" s="233"/>
      <c r="AF6" s="233"/>
      <c r="AG6" s="852">
        <f t="shared" si="3"/>
        <v>1461473.5</v>
      </c>
      <c r="AH6" s="848"/>
    </row>
    <row r="7" spans="1:36" s="825" customFormat="1">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9">
        <v>0.15125828288516194</v>
      </c>
      <c r="U7" s="233"/>
      <c r="V7" s="234" t="s">
        <v>287</v>
      </c>
      <c r="W7" s="759">
        <v>0</v>
      </c>
      <c r="X7" s="759">
        <v>0</v>
      </c>
      <c r="Y7" s="700">
        <f t="shared" si="0"/>
        <v>0</v>
      </c>
      <c r="Z7" s="700">
        <f t="shared" si="1"/>
        <v>0</v>
      </c>
      <c r="AA7" s="233">
        <f t="shared" si="2"/>
        <v>0</v>
      </c>
      <c r="AB7" s="233"/>
      <c r="AC7" s="233"/>
      <c r="AD7" s="233"/>
      <c r="AE7" s="233"/>
      <c r="AF7" s="233"/>
      <c r="AG7" s="852">
        <f t="shared" si="3"/>
        <v>0</v>
      </c>
      <c r="AH7" s="848"/>
    </row>
    <row r="8" spans="1:36" s="825" customFormat="1">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U8" s="233"/>
      <c r="V8" s="234" t="s">
        <v>288</v>
      </c>
      <c r="W8" s="759">
        <v>0.3</v>
      </c>
      <c r="X8" s="759">
        <v>1.4</v>
      </c>
      <c r="Y8" s="700">
        <f>W8*SUM(B9:C9)</f>
        <v>1957.4066999999973</v>
      </c>
      <c r="Z8" s="700">
        <f t="shared" si="1"/>
        <v>1957406.6999999972</v>
      </c>
      <c r="AA8" s="233">
        <f t="shared" si="2"/>
        <v>888006</v>
      </c>
      <c r="AB8" s="233"/>
      <c r="AC8" s="233"/>
      <c r="AD8" s="233"/>
      <c r="AE8" s="233"/>
      <c r="AF8" s="233"/>
      <c r="AG8" s="852">
        <f t="shared" si="3"/>
        <v>1957.4066999999973</v>
      </c>
      <c r="AH8" s="848"/>
    </row>
    <row r="9" spans="1:36" s="825" customFormat="1" ht="15"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20">
        <v>0.45828338546173136</v>
      </c>
      <c r="U9" s="233"/>
      <c r="V9" s="237" t="s">
        <v>289</v>
      </c>
      <c r="W9" s="759">
        <v>0.3</v>
      </c>
      <c r="X9" s="759">
        <v>0.2</v>
      </c>
      <c r="Y9" s="700">
        <f t="shared" si="0"/>
        <v>110394.59999999999</v>
      </c>
      <c r="Z9" s="700">
        <f t="shared" si="1"/>
        <v>110394599.99999999</v>
      </c>
      <c r="AA9" s="233">
        <f t="shared" si="2"/>
        <v>565.99999999999966</v>
      </c>
      <c r="AB9" s="233"/>
      <c r="AC9" s="233"/>
      <c r="AD9" s="233"/>
      <c r="AE9" s="233"/>
      <c r="AF9" s="233"/>
      <c r="AG9" s="852">
        <f t="shared" si="3"/>
        <v>110394.59999999999</v>
      </c>
      <c r="AH9" s="848"/>
    </row>
    <row r="10" spans="1:36" s="825" customFormat="1" ht="1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U10" s="233"/>
      <c r="V10" s="234" t="s">
        <v>290</v>
      </c>
      <c r="W10" s="759">
        <v>0.3</v>
      </c>
      <c r="X10" s="759">
        <v>0.2</v>
      </c>
      <c r="Y10" s="700">
        <f t="shared" si="0"/>
        <v>0</v>
      </c>
      <c r="Z10" s="700">
        <f t="shared" si="1"/>
        <v>0</v>
      </c>
      <c r="AA10" s="233">
        <f t="shared" si="2"/>
        <v>1629.6000000000001</v>
      </c>
      <c r="AB10" s="233"/>
      <c r="AC10" s="233"/>
      <c r="AD10" s="233"/>
      <c r="AE10" s="233"/>
      <c r="AF10" s="233"/>
      <c r="AG10" s="852">
        <f t="shared" si="3"/>
        <v>0</v>
      </c>
      <c r="AH10" s="848"/>
    </row>
    <row r="11" spans="1:36" s="825" customFormat="1">
      <c r="A11" s="234" t="s">
        <v>290</v>
      </c>
      <c r="B11" s="823">
        <v>0</v>
      </c>
      <c r="C11" s="824">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U11" s="233"/>
      <c r="V11" s="234" t="s">
        <v>291</v>
      </c>
      <c r="W11" s="759">
        <v>0</v>
      </c>
      <c r="X11" s="759">
        <v>0.8</v>
      </c>
      <c r="Y11" s="700">
        <f t="shared" si="0"/>
        <v>0</v>
      </c>
      <c r="Z11" s="700">
        <f t="shared" si="1"/>
        <v>0</v>
      </c>
      <c r="AA11" s="233">
        <f t="shared" si="2"/>
        <v>301872.78720000002</v>
      </c>
      <c r="AB11" s="233"/>
      <c r="AC11" s="233"/>
      <c r="AD11" s="233"/>
      <c r="AE11" s="233"/>
      <c r="AF11" s="233"/>
      <c r="AG11" s="852">
        <f t="shared" si="3"/>
        <v>0</v>
      </c>
      <c r="AH11" s="848"/>
    </row>
    <row r="12" spans="1:36" s="825"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U12" s="233"/>
      <c r="V12" s="238" t="s">
        <v>292</v>
      </c>
      <c r="W12" s="759">
        <v>0</v>
      </c>
      <c r="X12" s="759">
        <v>0</v>
      </c>
      <c r="Y12" s="700">
        <f t="shared" si="0"/>
        <v>0</v>
      </c>
      <c r="Z12" s="700">
        <f t="shared" si="1"/>
        <v>0</v>
      </c>
      <c r="AA12" s="233">
        <f t="shared" si="2"/>
        <v>0</v>
      </c>
      <c r="AB12" s="233"/>
      <c r="AC12" s="233"/>
      <c r="AD12" s="233"/>
      <c r="AE12" s="233"/>
      <c r="AF12" s="233"/>
      <c r="AG12" s="852">
        <f t="shared" si="3"/>
        <v>0</v>
      </c>
      <c r="AH12" s="848"/>
    </row>
    <row r="13" spans="1:36" s="825"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U13" s="233"/>
      <c r="V13" s="234" t="s">
        <v>293</v>
      </c>
      <c r="W13" s="759">
        <v>0</v>
      </c>
      <c r="X13" s="759">
        <v>8.5</v>
      </c>
      <c r="Y13" s="700">
        <f t="shared" si="0"/>
        <v>0</v>
      </c>
      <c r="Z13" s="700">
        <f t="shared" si="1"/>
        <v>0</v>
      </c>
      <c r="AA13" s="233">
        <f t="shared" si="2"/>
        <v>115812.38099999998</v>
      </c>
      <c r="AB13" s="233"/>
      <c r="AC13" s="233"/>
      <c r="AD13" s="233"/>
      <c r="AE13" s="233"/>
      <c r="AF13" s="233"/>
      <c r="AG13" s="852">
        <f t="shared" si="3"/>
        <v>0</v>
      </c>
      <c r="AH13" s="848"/>
    </row>
    <row r="14" spans="1:36" s="825"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U14" s="233"/>
      <c r="V14" s="239" t="s">
        <v>294</v>
      </c>
      <c r="W14" s="759">
        <v>1.6</v>
      </c>
      <c r="X14" s="759">
        <v>8.6</v>
      </c>
      <c r="Y14" s="700">
        <f t="shared" si="0"/>
        <v>56652.5504</v>
      </c>
      <c r="Z14" s="700">
        <f t="shared" si="1"/>
        <v>56652550.399999999</v>
      </c>
      <c r="AA14" s="233">
        <f t="shared" si="2"/>
        <v>111330.08739999996</v>
      </c>
      <c r="AB14" s="233"/>
      <c r="AC14" s="233"/>
      <c r="AD14" s="233"/>
      <c r="AE14" s="233"/>
      <c r="AF14" s="233"/>
      <c r="AG14" s="852">
        <f t="shared" si="3"/>
        <v>56652.5504</v>
      </c>
      <c r="AH14" s="848"/>
    </row>
    <row r="15" spans="1:36" s="825"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U15" s="233"/>
      <c r="V15" s="239" t="s">
        <v>295</v>
      </c>
      <c r="W15" s="759">
        <v>1.6</v>
      </c>
      <c r="X15" s="759">
        <v>8.6</v>
      </c>
      <c r="Y15" s="700">
        <f t="shared" si="0"/>
        <v>33.6</v>
      </c>
      <c r="Z15" s="700">
        <f t="shared" si="1"/>
        <v>33600</v>
      </c>
      <c r="AA15" s="233">
        <f t="shared" si="2"/>
        <v>70363.282200000001</v>
      </c>
      <c r="AB15" s="233"/>
      <c r="AC15" s="233"/>
      <c r="AD15" s="233"/>
      <c r="AE15" s="233"/>
      <c r="AF15" s="233"/>
      <c r="AG15" s="852">
        <f t="shared" si="3"/>
        <v>33.6</v>
      </c>
      <c r="AH15" s="848"/>
    </row>
    <row r="16" spans="1:36" s="825"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U16" s="233"/>
      <c r="V16" s="239" t="s">
        <v>296</v>
      </c>
      <c r="W16" s="759">
        <v>1.6</v>
      </c>
      <c r="X16" s="759">
        <v>8.6</v>
      </c>
      <c r="Y16" s="700">
        <f t="shared" si="0"/>
        <v>543.32799999999997</v>
      </c>
      <c r="Z16" s="700">
        <f t="shared" si="1"/>
        <v>543328</v>
      </c>
      <c r="AA16" s="233">
        <f t="shared" si="2"/>
        <v>13499.970399999998</v>
      </c>
      <c r="AB16" s="233"/>
      <c r="AC16" s="233"/>
      <c r="AD16" s="233"/>
      <c r="AE16" s="233"/>
      <c r="AF16" s="233"/>
      <c r="AG16" s="852">
        <f t="shared" si="3"/>
        <v>543.32799999999997</v>
      </c>
      <c r="AH16" s="848"/>
    </row>
    <row r="17" spans="1:34" s="825"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U17" s="233"/>
      <c r="V17" s="239" t="s">
        <v>297</v>
      </c>
      <c r="W17" s="759">
        <v>8.8000000000000007</v>
      </c>
      <c r="X17" s="759">
        <v>5.6</v>
      </c>
      <c r="Y17" s="700">
        <f t="shared" si="0"/>
        <v>109574.0888</v>
      </c>
      <c r="Z17" s="700">
        <f t="shared" si="1"/>
        <v>109574088.8</v>
      </c>
      <c r="AA17" s="233">
        <f t="shared" si="2"/>
        <v>27236.441120000003</v>
      </c>
      <c r="AB17" s="233"/>
      <c r="AC17" s="233"/>
      <c r="AD17" s="233"/>
      <c r="AE17" s="233"/>
      <c r="AF17" s="233"/>
      <c r="AG17" s="852">
        <f t="shared" si="3"/>
        <v>109574.0888</v>
      </c>
      <c r="AH17" s="848"/>
    </row>
    <row r="18" spans="1:34" s="825"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U18" s="233"/>
      <c r="V18" s="234" t="s">
        <v>298</v>
      </c>
      <c r="W18" s="759">
        <v>0.8</v>
      </c>
      <c r="X18" s="759">
        <v>17.600000000000001</v>
      </c>
      <c r="Y18" s="700">
        <f t="shared" si="0"/>
        <v>0</v>
      </c>
      <c r="Z18" s="700">
        <f t="shared" si="1"/>
        <v>0</v>
      </c>
      <c r="AA18" s="233">
        <f t="shared" si="2"/>
        <v>995765.84800000011</v>
      </c>
      <c r="AB18" s="233"/>
      <c r="AC18" s="233"/>
      <c r="AD18" s="233"/>
      <c r="AE18" s="233"/>
      <c r="AF18" s="233"/>
      <c r="AG18" s="852">
        <f t="shared" si="3"/>
        <v>0</v>
      </c>
      <c r="AH18" s="848"/>
    </row>
    <row r="19" spans="1:34" s="825"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U19" s="233"/>
      <c r="V19" s="234" t="s">
        <v>299</v>
      </c>
      <c r="W19" s="759">
        <v>1.6</v>
      </c>
      <c r="X19" s="759">
        <v>2.7</v>
      </c>
      <c r="Y19" s="700">
        <f t="shared" si="0"/>
        <v>18564.993599999998</v>
      </c>
      <c r="Z19" s="700">
        <f t="shared" si="1"/>
        <v>18564993.599999998</v>
      </c>
      <c r="AA19" s="233">
        <f t="shared" si="2"/>
        <v>6767.0316000000003</v>
      </c>
      <c r="AB19" s="233"/>
      <c r="AC19" s="233"/>
      <c r="AD19" s="233"/>
      <c r="AE19" s="233"/>
      <c r="AF19" s="233"/>
      <c r="AG19" s="852">
        <f t="shared" si="3"/>
        <v>18564.993599999998</v>
      </c>
      <c r="AH19" s="848"/>
    </row>
    <row r="20" spans="1:34" s="825"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U20" s="233"/>
      <c r="V20" s="234" t="s">
        <v>300</v>
      </c>
      <c r="W20" s="759">
        <v>1.8</v>
      </c>
      <c r="X20" s="759">
        <v>4.5</v>
      </c>
      <c r="Y20" s="700">
        <f t="shared" si="0"/>
        <v>18712.8</v>
      </c>
      <c r="Z20" s="700">
        <f t="shared" si="1"/>
        <v>18712800</v>
      </c>
      <c r="AA20" s="233">
        <f t="shared" si="2"/>
        <v>20022.930000000008</v>
      </c>
      <c r="AB20" s="233"/>
      <c r="AC20" s="233"/>
      <c r="AD20" s="233"/>
      <c r="AE20" s="233"/>
      <c r="AF20" s="233"/>
      <c r="AG20" s="852">
        <f t="shared" si="3"/>
        <v>18712.8</v>
      </c>
      <c r="AH20" s="848"/>
    </row>
    <row r="21" spans="1:34" s="825"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U21" s="233"/>
      <c r="V21" s="238" t="s">
        <v>301</v>
      </c>
      <c r="W21" s="759">
        <v>0.8</v>
      </c>
      <c r="X21" s="759">
        <v>6.1</v>
      </c>
      <c r="Y21" s="700">
        <f t="shared" si="0"/>
        <v>3369.5074399999999</v>
      </c>
      <c r="Z21" s="700">
        <f t="shared" si="1"/>
        <v>3369507.44</v>
      </c>
      <c r="AA21" s="233">
        <f t="shared" si="2"/>
        <v>185034.01010799999</v>
      </c>
      <c r="AB21" s="233"/>
      <c r="AC21" s="233"/>
      <c r="AD21" s="233"/>
      <c r="AE21" s="233"/>
      <c r="AF21" s="233"/>
      <c r="AG21" s="852">
        <f t="shared" si="3"/>
        <v>3369.5074399999999</v>
      </c>
      <c r="AH21" s="848"/>
    </row>
    <row r="22" spans="1:34" s="825"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U22" s="233"/>
      <c r="V22" s="234" t="s">
        <v>302</v>
      </c>
      <c r="W22" s="759">
        <v>0.1</v>
      </c>
      <c r="X22" s="759">
        <v>0.2</v>
      </c>
      <c r="Y22" s="700">
        <f t="shared" si="0"/>
        <v>37003.01412</v>
      </c>
      <c r="Z22" s="700">
        <f t="shared" si="1"/>
        <v>37003014.119999997</v>
      </c>
      <c r="AA22" s="233">
        <f t="shared" si="2"/>
        <v>6851.255758000003</v>
      </c>
      <c r="AB22" s="233"/>
      <c r="AC22" s="233"/>
      <c r="AD22" s="233"/>
      <c r="AE22" s="233"/>
      <c r="AF22" s="233"/>
      <c r="AG22" s="852">
        <f t="shared" si="3"/>
        <v>37003.01412</v>
      </c>
      <c r="AH22" s="848"/>
    </row>
    <row r="23" spans="1:34" s="825"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U23" s="233"/>
      <c r="V23" s="234" t="s">
        <v>303</v>
      </c>
      <c r="W23" s="759">
        <v>0.14000000000000001</v>
      </c>
      <c r="X23" s="759">
        <v>0</v>
      </c>
      <c r="Y23" s="700">
        <f t="shared" si="0"/>
        <v>14429.818480000002</v>
      </c>
      <c r="Z23" s="700">
        <f t="shared" si="1"/>
        <v>14429818.480000002</v>
      </c>
      <c r="AA23" s="233">
        <f t="shared" si="2"/>
        <v>0</v>
      </c>
      <c r="AB23" s="233"/>
      <c r="AC23" s="233"/>
      <c r="AD23" s="233"/>
      <c r="AE23" s="233"/>
      <c r="AF23" s="233"/>
      <c r="AG23" s="852">
        <f t="shared" si="3"/>
        <v>14429.818480000002</v>
      </c>
      <c r="AH23" s="848"/>
    </row>
    <row r="24" spans="1:34" s="825"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U24" s="233"/>
      <c r="V24" s="238" t="s">
        <v>304</v>
      </c>
      <c r="W24" s="759">
        <v>0.15</v>
      </c>
      <c r="X24" s="759">
        <v>0</v>
      </c>
      <c r="Y24" s="700">
        <f t="shared" si="0"/>
        <v>16837.35195</v>
      </c>
      <c r="Z24" s="700">
        <f t="shared" si="1"/>
        <v>16837351.949999999</v>
      </c>
      <c r="AA24" s="233">
        <f t="shared" si="2"/>
        <v>0</v>
      </c>
      <c r="AB24" s="233"/>
      <c r="AC24" s="233"/>
      <c r="AD24" s="233"/>
      <c r="AE24" s="233"/>
      <c r="AF24" s="233"/>
      <c r="AG24" s="852">
        <f t="shared" si="3"/>
        <v>16837.35195</v>
      </c>
      <c r="AH24" s="848"/>
    </row>
    <row r="25" spans="1:34" s="825"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U25" s="233"/>
      <c r="V25" s="238" t="s">
        <v>305</v>
      </c>
      <c r="W25" s="759">
        <v>0.18</v>
      </c>
      <c r="X25" s="759">
        <v>0</v>
      </c>
      <c r="Y25" s="700">
        <f t="shared" si="0"/>
        <v>15133.287600000001</v>
      </c>
      <c r="Z25" s="700">
        <f t="shared" si="1"/>
        <v>15133287.600000001</v>
      </c>
      <c r="AA25" s="233">
        <f t="shared" si="2"/>
        <v>0</v>
      </c>
      <c r="AB25" s="233"/>
      <c r="AC25" s="233"/>
      <c r="AD25" s="233"/>
      <c r="AE25" s="233"/>
      <c r="AF25" s="233"/>
      <c r="AG25" s="852">
        <f t="shared" si="3"/>
        <v>15133.287600000001</v>
      </c>
      <c r="AH25" s="848"/>
    </row>
    <row r="26" spans="1:34" s="825"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U26" s="233"/>
      <c r="V26" s="238" t="s">
        <v>306</v>
      </c>
      <c r="W26" s="759">
        <v>0.4</v>
      </c>
      <c r="X26" s="759">
        <v>0.2</v>
      </c>
      <c r="Y26" s="700">
        <f t="shared" si="0"/>
        <v>35325.367599692006</v>
      </c>
      <c r="Z26" s="700">
        <f t="shared" si="1"/>
        <v>35325367.599692009</v>
      </c>
      <c r="AA26" s="233">
        <f t="shared" si="2"/>
        <v>279.93120000000005</v>
      </c>
      <c r="AB26" s="233"/>
      <c r="AC26" s="233"/>
      <c r="AD26" s="233"/>
      <c r="AE26" s="233"/>
      <c r="AF26" s="233"/>
      <c r="AG26" s="852">
        <f t="shared" si="3"/>
        <v>35325.367599692006</v>
      </c>
      <c r="AH26" s="848"/>
    </row>
    <row r="27" spans="1:34" s="825"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U27" s="233"/>
      <c r="V27" s="238" t="s">
        <v>307</v>
      </c>
      <c r="W27" s="759">
        <v>0.5</v>
      </c>
      <c r="X27" s="759">
        <v>0.6</v>
      </c>
      <c r="Y27" s="700">
        <f t="shared" si="0"/>
        <v>159345.2168099999</v>
      </c>
      <c r="Z27" s="700">
        <f t="shared" si="1"/>
        <v>159345216.80999988</v>
      </c>
      <c r="AA27" s="233">
        <f t="shared" si="2"/>
        <v>41990.478960000022</v>
      </c>
      <c r="AB27" s="233"/>
      <c r="AC27" s="233"/>
      <c r="AD27" s="233"/>
      <c r="AE27" s="233"/>
      <c r="AF27" s="233"/>
      <c r="AG27" s="852">
        <f t="shared" si="3"/>
        <v>159345.2168099999</v>
      </c>
      <c r="AH27" s="848"/>
    </row>
    <row r="28" spans="1:34" s="825"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U28" s="233"/>
      <c r="V28" s="238" t="s">
        <v>308</v>
      </c>
      <c r="W28" s="759">
        <v>0</v>
      </c>
      <c r="X28" s="759">
        <v>0</v>
      </c>
      <c r="Y28" s="700">
        <f t="shared" si="0"/>
        <v>0</v>
      </c>
      <c r="Z28" s="700">
        <f t="shared" si="1"/>
        <v>0</v>
      </c>
      <c r="AA28" s="233">
        <f t="shared" si="2"/>
        <v>0</v>
      </c>
      <c r="AB28" s="233"/>
      <c r="AC28" s="233"/>
      <c r="AD28" s="233"/>
      <c r="AE28" s="233"/>
      <c r="AF28" s="233"/>
      <c r="AG28" s="852">
        <f t="shared" si="3"/>
        <v>0</v>
      </c>
      <c r="AH28" s="848"/>
    </row>
    <row r="29" spans="1:34" s="825"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U29" s="233"/>
      <c r="V29" s="238" t="s">
        <v>309</v>
      </c>
      <c r="W29" s="759">
        <v>0</v>
      </c>
      <c r="X29" s="759">
        <v>0</v>
      </c>
      <c r="Y29" s="700">
        <f t="shared" si="0"/>
        <v>0</v>
      </c>
      <c r="Z29" s="700">
        <f t="shared" si="1"/>
        <v>0</v>
      </c>
      <c r="AA29" s="233">
        <f t="shared" si="2"/>
        <v>0</v>
      </c>
      <c r="AB29" s="233"/>
      <c r="AC29" s="233"/>
      <c r="AD29" s="233"/>
      <c r="AE29" s="233"/>
      <c r="AF29" s="233"/>
      <c r="AG29" s="852">
        <f t="shared" si="3"/>
        <v>0</v>
      </c>
      <c r="AH29" s="848"/>
    </row>
    <row r="30" spans="1:34" s="825"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U30" s="233"/>
      <c r="V30" s="238" t="s">
        <v>310</v>
      </c>
      <c r="W30" s="759">
        <v>0.4</v>
      </c>
      <c r="X30" s="759">
        <v>0.5</v>
      </c>
      <c r="Y30" s="700">
        <f t="shared" si="0"/>
        <v>30350.318624000003</v>
      </c>
      <c r="Z30" s="700">
        <f t="shared" si="1"/>
        <v>30350318.624000002</v>
      </c>
      <c r="AA30" s="233">
        <f t="shared" si="2"/>
        <v>94325.465242499995</v>
      </c>
      <c r="AB30" s="233"/>
      <c r="AC30" s="233"/>
      <c r="AD30" s="233"/>
      <c r="AE30" s="233"/>
      <c r="AF30" s="233"/>
      <c r="AG30" s="852">
        <f t="shared" si="3"/>
        <v>30350.318624000003</v>
      </c>
      <c r="AH30" s="848"/>
    </row>
    <row r="31" spans="1:34" s="825"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U31" s="233"/>
      <c r="V31" s="238" t="s">
        <v>311</v>
      </c>
      <c r="W31" s="759">
        <v>0.2</v>
      </c>
      <c r="X31" s="759">
        <v>0.4</v>
      </c>
      <c r="Y31" s="700">
        <f t="shared" si="0"/>
        <v>17483.481200000002</v>
      </c>
      <c r="Z31" s="700">
        <f t="shared" si="1"/>
        <v>17483481.200000003</v>
      </c>
      <c r="AA31" s="233">
        <f t="shared" si="2"/>
        <v>298.38</v>
      </c>
      <c r="AB31" s="233"/>
      <c r="AC31" s="233"/>
      <c r="AD31" s="233"/>
      <c r="AE31" s="233"/>
      <c r="AF31" s="233"/>
      <c r="AG31" s="852">
        <f t="shared" si="3"/>
        <v>17483.481200000002</v>
      </c>
      <c r="AH31" s="848"/>
    </row>
    <row r="32" spans="1:34" s="825"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U32" s="233"/>
      <c r="V32" s="238" t="s">
        <v>312</v>
      </c>
      <c r="W32" s="759">
        <v>0.3</v>
      </c>
      <c r="X32" s="759">
        <v>0.5</v>
      </c>
      <c r="Y32" s="700">
        <f t="shared" si="0"/>
        <v>21236.053199999998</v>
      </c>
      <c r="Z32" s="700">
        <f t="shared" si="1"/>
        <v>21236053.199999999</v>
      </c>
      <c r="AA32" s="233">
        <f t="shared" si="2"/>
        <v>11.790500000001236</v>
      </c>
      <c r="AB32" s="233"/>
      <c r="AC32" s="233"/>
      <c r="AD32" s="233"/>
      <c r="AE32" s="233"/>
      <c r="AF32" s="233"/>
      <c r="AG32" s="852">
        <f t="shared" si="3"/>
        <v>21236.053199999998</v>
      </c>
      <c r="AH32" s="848"/>
    </row>
    <row r="33" spans="1:34" s="825"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U33" s="233"/>
      <c r="V33" s="238" t="s">
        <v>313</v>
      </c>
      <c r="W33" s="759">
        <v>1.7</v>
      </c>
      <c r="X33" s="759">
        <v>0</v>
      </c>
      <c r="Y33" s="700">
        <f t="shared" si="0"/>
        <v>221474.72321500001</v>
      </c>
      <c r="Z33" s="700">
        <f t="shared" si="1"/>
        <v>221474723.215</v>
      </c>
      <c r="AA33" s="233">
        <f t="shared" si="2"/>
        <v>0</v>
      </c>
      <c r="AB33" s="233"/>
      <c r="AC33" s="233"/>
      <c r="AD33" s="233"/>
      <c r="AE33" s="233"/>
      <c r="AF33" s="233"/>
      <c r="AG33" s="852">
        <f t="shared" si="3"/>
        <v>221474.72321500001</v>
      </c>
      <c r="AH33" s="848"/>
    </row>
    <row r="34" spans="1:34" s="825"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U34" s="233"/>
      <c r="V34" s="238" t="s">
        <v>314</v>
      </c>
      <c r="W34" s="759">
        <v>4.5</v>
      </c>
      <c r="X34" s="759">
        <v>4</v>
      </c>
      <c r="Y34" s="700">
        <f t="shared" si="0"/>
        <v>390594.82319999998</v>
      </c>
      <c r="Z34" s="700">
        <f t="shared" si="1"/>
        <v>390594823.19999999</v>
      </c>
      <c r="AA34" s="233">
        <f t="shared" si="2"/>
        <v>23567.217599999964</v>
      </c>
      <c r="AB34" s="233"/>
      <c r="AC34" s="233"/>
      <c r="AD34" s="233"/>
      <c r="AE34" s="233"/>
      <c r="AF34" s="233"/>
      <c r="AG34" s="852">
        <f t="shared" si="3"/>
        <v>390594.82319999998</v>
      </c>
      <c r="AH34" s="848"/>
    </row>
    <row r="35" spans="1:34" s="825"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U35" s="233"/>
      <c r="V35" s="238" t="s">
        <v>315</v>
      </c>
      <c r="W35" s="759">
        <v>0.6</v>
      </c>
      <c r="X35" s="759">
        <v>0.8</v>
      </c>
      <c r="Y35" s="700">
        <f t="shared" si="0"/>
        <v>71274.645600000003</v>
      </c>
      <c r="Z35" s="700">
        <f t="shared" si="1"/>
        <v>71274645.600000009</v>
      </c>
      <c r="AA35" s="233">
        <f t="shared" si="2"/>
        <v>13272.96888319999</v>
      </c>
      <c r="AB35" s="233"/>
      <c r="AC35" s="233"/>
      <c r="AD35" s="233"/>
      <c r="AE35" s="233"/>
      <c r="AF35" s="233"/>
      <c r="AG35" s="852">
        <f t="shared" si="3"/>
        <v>71274.645600000003</v>
      </c>
      <c r="AH35" s="848"/>
    </row>
    <row r="36" spans="1:34" s="825"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U36" s="233"/>
      <c r="V36" s="238" t="s">
        <v>316</v>
      </c>
      <c r="W36" s="759">
        <v>0.2</v>
      </c>
      <c r="X36" s="759">
        <v>0.3</v>
      </c>
      <c r="Y36" s="700">
        <f t="shared" si="0"/>
        <v>19201.807607999999</v>
      </c>
      <c r="Z36" s="700">
        <f t="shared" si="1"/>
        <v>19201807.607999999</v>
      </c>
      <c r="AA36" s="233">
        <f t="shared" si="2"/>
        <v>10941.887639999995</v>
      </c>
      <c r="AB36" s="233"/>
      <c r="AC36" s="233"/>
      <c r="AD36" s="233"/>
      <c r="AE36" s="233"/>
      <c r="AF36" s="233"/>
      <c r="AG36" s="852">
        <f t="shared" si="3"/>
        <v>19201.807607999999</v>
      </c>
      <c r="AH36" s="848"/>
    </row>
    <row r="37" spans="1:34" s="825"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U37" s="233"/>
      <c r="V37" s="238" t="s">
        <v>317</v>
      </c>
      <c r="W37" s="759">
        <v>0</v>
      </c>
      <c r="X37" s="759">
        <v>0</v>
      </c>
      <c r="Y37" s="700">
        <f t="shared" si="0"/>
        <v>0</v>
      </c>
      <c r="Z37" s="700">
        <f t="shared" si="1"/>
        <v>0</v>
      </c>
      <c r="AA37" s="233">
        <f t="shared" si="2"/>
        <v>0</v>
      </c>
      <c r="AB37" s="233"/>
      <c r="AC37" s="233"/>
      <c r="AD37" s="233"/>
      <c r="AE37" s="233"/>
      <c r="AF37" s="233"/>
      <c r="AG37" s="852">
        <f t="shared" si="3"/>
        <v>0</v>
      </c>
      <c r="AH37" s="848"/>
    </row>
    <row r="38" spans="1:34" s="825"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U38" s="233"/>
      <c r="V38" s="238" t="s">
        <v>318</v>
      </c>
      <c r="W38" s="759">
        <v>0</v>
      </c>
      <c r="X38" s="759">
        <v>0</v>
      </c>
      <c r="Y38" s="700">
        <f t="shared" si="0"/>
        <v>0</v>
      </c>
      <c r="Z38" s="700">
        <f t="shared" si="1"/>
        <v>0</v>
      </c>
      <c r="AA38" s="233">
        <f t="shared" si="2"/>
        <v>0</v>
      </c>
      <c r="AB38" s="233"/>
      <c r="AC38" s="233"/>
      <c r="AD38" s="233"/>
      <c r="AE38" s="233"/>
      <c r="AF38" s="233"/>
      <c r="AG38" s="852">
        <f t="shared" si="3"/>
        <v>0</v>
      </c>
      <c r="AH38" s="848"/>
    </row>
    <row r="39" spans="1:34" s="825"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U39" s="233"/>
      <c r="V39" s="238" t="s">
        <v>319</v>
      </c>
      <c r="W39" s="759">
        <v>0</v>
      </c>
      <c r="X39" s="759">
        <v>0</v>
      </c>
      <c r="Y39" s="700">
        <f t="shared" si="0"/>
        <v>0</v>
      </c>
      <c r="Z39" s="700">
        <f t="shared" si="1"/>
        <v>0</v>
      </c>
      <c r="AA39" s="233">
        <f t="shared" si="2"/>
        <v>0</v>
      </c>
      <c r="AB39" s="233"/>
      <c r="AC39" s="233"/>
      <c r="AD39" s="233"/>
      <c r="AE39" s="233"/>
      <c r="AF39" s="233"/>
      <c r="AG39" s="852">
        <f t="shared" si="3"/>
        <v>0</v>
      </c>
      <c r="AH39" s="848"/>
    </row>
    <row r="40" spans="1:34" s="825"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U40" s="233"/>
      <c r="V40" s="238" t="s">
        <v>320</v>
      </c>
      <c r="W40" s="759">
        <v>0.7</v>
      </c>
      <c r="X40" s="759">
        <v>0.8</v>
      </c>
      <c r="Y40" s="700">
        <f t="shared" si="0"/>
        <v>7392.3231199999964</v>
      </c>
      <c r="Z40" s="700">
        <f t="shared" si="1"/>
        <v>7392323.1199999964</v>
      </c>
      <c r="AA40" s="233">
        <f t="shared" si="2"/>
        <v>6978.5391999999993</v>
      </c>
      <c r="AB40" s="233"/>
      <c r="AC40" s="233"/>
      <c r="AD40" s="233"/>
      <c r="AE40" s="233"/>
      <c r="AF40" s="233"/>
      <c r="AG40" s="852">
        <f t="shared" si="3"/>
        <v>7392.3231199999964</v>
      </c>
      <c r="AH40" s="848"/>
    </row>
    <row r="41" spans="1:34" s="825"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U41" s="233"/>
      <c r="V41" s="238" t="s">
        <v>321</v>
      </c>
      <c r="W41" s="759">
        <v>1.8</v>
      </c>
      <c r="X41" s="759">
        <v>1.5</v>
      </c>
      <c r="Y41" s="700">
        <f t="shared" si="0"/>
        <v>31871.568600000006</v>
      </c>
      <c r="Z41" s="700">
        <f t="shared" si="1"/>
        <v>31871568.600000005</v>
      </c>
      <c r="AA41" s="233">
        <f t="shared" si="2"/>
        <v>18.074999999998891</v>
      </c>
      <c r="AB41" s="233"/>
      <c r="AC41" s="233"/>
      <c r="AD41" s="233"/>
      <c r="AE41" s="233"/>
      <c r="AF41" s="233"/>
      <c r="AG41" s="852">
        <f t="shared" si="3"/>
        <v>31871.568600000006</v>
      </c>
      <c r="AH41" s="848"/>
    </row>
    <row r="42" spans="1:34" s="825"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U42" s="233"/>
      <c r="V42" s="238" t="s">
        <v>322</v>
      </c>
      <c r="W42" s="759">
        <v>0.9</v>
      </c>
      <c r="X42" s="759">
        <v>0</v>
      </c>
      <c r="Y42" s="700">
        <f t="shared" si="0"/>
        <v>36509.577300000004</v>
      </c>
      <c r="Z42" s="700">
        <f t="shared" si="1"/>
        <v>36509577.300000004</v>
      </c>
      <c r="AA42" s="233">
        <f t="shared" si="2"/>
        <v>0</v>
      </c>
      <c r="AB42" s="233"/>
      <c r="AC42" s="233"/>
      <c r="AD42" s="233"/>
      <c r="AE42" s="233"/>
      <c r="AF42" s="233"/>
      <c r="AG42" s="852">
        <f t="shared" si="3"/>
        <v>36509.577300000004</v>
      </c>
      <c r="AH42" s="848"/>
    </row>
    <row r="43" spans="1:34" s="825"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U43" s="233"/>
      <c r="V43" s="238" t="s">
        <v>323</v>
      </c>
      <c r="W43" s="759">
        <v>0</v>
      </c>
      <c r="X43" s="759">
        <v>0</v>
      </c>
      <c r="Y43" s="700">
        <f t="shared" si="0"/>
        <v>0</v>
      </c>
      <c r="Z43" s="700">
        <f t="shared" si="1"/>
        <v>0</v>
      </c>
      <c r="AA43" s="233">
        <f t="shared" si="2"/>
        <v>0</v>
      </c>
      <c r="AB43" s="233"/>
      <c r="AC43" s="233"/>
      <c r="AD43" s="233"/>
      <c r="AE43" s="233"/>
      <c r="AF43" s="233"/>
      <c r="AG43" s="852">
        <f t="shared" si="3"/>
        <v>0</v>
      </c>
      <c r="AH43" s="848"/>
    </row>
    <row r="44" spans="1:34" s="825"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U44" s="233"/>
      <c r="V44" s="238" t="s">
        <v>324</v>
      </c>
      <c r="W44" s="759">
        <v>0</v>
      </c>
      <c r="X44" s="759">
        <v>0</v>
      </c>
      <c r="Y44" s="700">
        <f t="shared" si="0"/>
        <v>0</v>
      </c>
      <c r="Z44" s="700">
        <f t="shared" si="1"/>
        <v>0</v>
      </c>
      <c r="AA44" s="233">
        <f t="shared" si="2"/>
        <v>0</v>
      </c>
      <c r="AB44" s="233"/>
      <c r="AC44" s="233"/>
      <c r="AD44" s="233"/>
      <c r="AE44" s="233"/>
      <c r="AF44" s="233"/>
      <c r="AG44" s="852">
        <f t="shared" si="3"/>
        <v>0</v>
      </c>
      <c r="AH44" s="848"/>
    </row>
    <row r="45" spans="1:34" s="825"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U45" s="233"/>
      <c r="V45" s="238" t="s">
        <v>325</v>
      </c>
      <c r="W45" s="759">
        <v>0</v>
      </c>
      <c r="X45" s="759">
        <v>0</v>
      </c>
      <c r="Y45" s="700">
        <f t="shared" si="0"/>
        <v>0</v>
      </c>
      <c r="Z45" s="700">
        <f t="shared" si="1"/>
        <v>0</v>
      </c>
      <c r="AA45" s="233">
        <f t="shared" si="2"/>
        <v>0</v>
      </c>
      <c r="AB45" s="233"/>
      <c r="AC45" s="233"/>
      <c r="AD45" s="233"/>
      <c r="AE45" s="233"/>
      <c r="AF45" s="233"/>
      <c r="AG45" s="852">
        <f t="shared" si="3"/>
        <v>0</v>
      </c>
      <c r="AH45" s="848"/>
    </row>
    <row r="46" spans="1:34" s="825"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U46" s="233"/>
      <c r="V46" s="238" t="s">
        <v>326</v>
      </c>
      <c r="W46" s="759">
        <v>0.2</v>
      </c>
      <c r="X46" s="759">
        <v>0.3</v>
      </c>
      <c r="Y46" s="700">
        <f t="shared" si="0"/>
        <v>23010.710800000001</v>
      </c>
      <c r="Z46" s="700">
        <f t="shared" si="1"/>
        <v>23010710.800000001</v>
      </c>
      <c r="AA46" s="233">
        <f t="shared" si="2"/>
        <v>32.03310000000203</v>
      </c>
      <c r="AB46" s="233"/>
      <c r="AC46" s="233"/>
      <c r="AD46" s="233"/>
      <c r="AE46" s="233"/>
      <c r="AF46" s="233"/>
      <c r="AG46" s="852">
        <f t="shared" si="3"/>
        <v>23010.710800000001</v>
      </c>
      <c r="AH46" s="848"/>
    </row>
    <row r="47" spans="1:34" s="825"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U47" s="233"/>
      <c r="V47" s="238" t="s">
        <v>327</v>
      </c>
      <c r="W47" s="759">
        <v>0.7</v>
      </c>
      <c r="X47" s="759">
        <v>0.8</v>
      </c>
      <c r="Y47" s="700">
        <f t="shared" si="0"/>
        <v>43418.363225999965</v>
      </c>
      <c r="Z47" s="700">
        <f t="shared" si="1"/>
        <v>43418363.225999966</v>
      </c>
      <c r="AA47" s="233">
        <f t="shared" si="2"/>
        <v>7027.7561600000045</v>
      </c>
      <c r="AB47" s="233"/>
      <c r="AC47" s="233"/>
      <c r="AD47" s="233"/>
      <c r="AE47" s="233"/>
      <c r="AF47" s="233"/>
      <c r="AG47" s="852">
        <f t="shared" si="3"/>
        <v>43418.363225999965</v>
      </c>
      <c r="AH47" s="848"/>
    </row>
    <row r="48" spans="1:34" s="825"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U48" s="233"/>
      <c r="V48" s="238" t="s">
        <v>328</v>
      </c>
      <c r="W48" s="759">
        <v>0</v>
      </c>
      <c r="X48" s="759">
        <v>7.3</v>
      </c>
      <c r="Y48" s="700">
        <f t="shared" si="0"/>
        <v>0</v>
      </c>
      <c r="Z48" s="700">
        <f t="shared" si="1"/>
        <v>0</v>
      </c>
      <c r="AA48" s="233">
        <f t="shared" si="2"/>
        <v>874911.75030999992</v>
      </c>
      <c r="AB48" s="233"/>
      <c r="AC48" s="233"/>
      <c r="AD48" s="233"/>
      <c r="AE48" s="233"/>
      <c r="AF48" s="233"/>
      <c r="AG48" s="852">
        <f t="shared" si="3"/>
        <v>0</v>
      </c>
      <c r="AH48" s="848"/>
    </row>
    <row r="49" spans="1:34" s="825"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U49" s="233"/>
      <c r="V49" s="238" t="s">
        <v>329</v>
      </c>
      <c r="W49" s="759">
        <v>0</v>
      </c>
      <c r="X49" s="759">
        <v>5</v>
      </c>
      <c r="Y49" s="700">
        <f t="shared" si="0"/>
        <v>0</v>
      </c>
      <c r="Z49" s="700">
        <f t="shared" si="1"/>
        <v>0</v>
      </c>
      <c r="AA49" s="233">
        <f t="shared" si="2"/>
        <v>7456.35</v>
      </c>
      <c r="AB49" s="233"/>
      <c r="AC49" s="233"/>
      <c r="AD49" s="233"/>
      <c r="AE49" s="233"/>
      <c r="AF49" s="233"/>
      <c r="AG49" s="852">
        <f t="shared" si="3"/>
        <v>0</v>
      </c>
      <c r="AH49" s="848"/>
    </row>
    <row r="50" spans="1:34" s="825"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U50" s="233"/>
      <c r="V50" s="238" t="s">
        <v>330</v>
      </c>
      <c r="W50" s="759">
        <v>0</v>
      </c>
      <c r="X50" s="759">
        <v>4.5</v>
      </c>
      <c r="Y50" s="700">
        <f t="shared" si="0"/>
        <v>0</v>
      </c>
      <c r="Z50" s="700">
        <f t="shared" si="1"/>
        <v>0</v>
      </c>
      <c r="AA50" s="233">
        <f t="shared" si="2"/>
        <v>47779.684875000006</v>
      </c>
      <c r="AB50" s="233"/>
      <c r="AC50" s="233"/>
      <c r="AD50" s="233"/>
      <c r="AE50" s="233"/>
      <c r="AF50" s="233"/>
      <c r="AG50" s="852">
        <f t="shared" si="3"/>
        <v>0</v>
      </c>
      <c r="AH50" s="848"/>
    </row>
    <row r="51" spans="1:34" s="825"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U51" s="233"/>
      <c r="V51" s="238" t="s">
        <v>331</v>
      </c>
      <c r="W51" s="759">
        <v>3.7</v>
      </c>
      <c r="X51" s="759">
        <v>3.3</v>
      </c>
      <c r="Y51" s="700">
        <f t="shared" si="0"/>
        <v>0</v>
      </c>
      <c r="Z51" s="700">
        <f t="shared" si="1"/>
        <v>0</v>
      </c>
      <c r="AA51" s="233">
        <f t="shared" si="2"/>
        <v>150575.69669999997</v>
      </c>
      <c r="AB51" s="233"/>
      <c r="AC51" s="233"/>
      <c r="AD51" s="233"/>
      <c r="AE51" s="233"/>
      <c r="AF51" s="233"/>
      <c r="AG51" s="852">
        <f t="shared" si="3"/>
        <v>0</v>
      </c>
      <c r="AH51" s="848"/>
    </row>
    <row r="52" spans="1:34" s="825"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U52" s="233"/>
      <c r="V52" s="238" t="s">
        <v>332</v>
      </c>
      <c r="W52" s="759">
        <v>22.1</v>
      </c>
      <c r="X52" s="759">
        <v>23.9</v>
      </c>
      <c r="Y52" s="700">
        <f t="shared" si="0"/>
        <v>517184.2</v>
      </c>
      <c r="Z52" s="700">
        <f t="shared" si="1"/>
        <v>517184200</v>
      </c>
      <c r="AA52" s="233">
        <f t="shared" si="2"/>
        <v>147152.10879999993</v>
      </c>
      <c r="AB52" s="233"/>
      <c r="AC52" s="233"/>
      <c r="AD52" s="233"/>
      <c r="AE52" s="233"/>
      <c r="AF52" s="233"/>
      <c r="AG52" s="852">
        <f t="shared" si="3"/>
        <v>517184.2</v>
      </c>
      <c r="AH52" s="848"/>
    </row>
    <row r="53" spans="1:34" s="825"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U53" s="233"/>
      <c r="V53" s="238" t="s">
        <v>333</v>
      </c>
      <c r="W53" s="759">
        <v>0</v>
      </c>
      <c r="X53" s="759">
        <v>0</v>
      </c>
      <c r="Y53" s="700">
        <f t="shared" si="0"/>
        <v>0</v>
      </c>
      <c r="Z53" s="700">
        <f t="shared" si="1"/>
        <v>0</v>
      </c>
      <c r="AA53" s="233">
        <f t="shared" si="2"/>
        <v>0</v>
      </c>
      <c r="AB53" s="233"/>
      <c r="AC53" s="233"/>
      <c r="AD53" s="233"/>
      <c r="AE53" s="233"/>
      <c r="AF53" s="233"/>
      <c r="AG53" s="852">
        <f t="shared" si="3"/>
        <v>0</v>
      </c>
      <c r="AH53" s="848"/>
    </row>
    <row r="54" spans="1:34" s="825"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U54" s="233"/>
      <c r="V54" s="238" t="s">
        <v>334</v>
      </c>
      <c r="W54" s="759">
        <v>1.3</v>
      </c>
      <c r="X54" s="759">
        <v>0.8</v>
      </c>
      <c r="Y54" s="700">
        <f t="shared" si="0"/>
        <v>7291.1280000000006</v>
      </c>
      <c r="Z54" s="700">
        <f t="shared" si="1"/>
        <v>7291128.0000000009</v>
      </c>
      <c r="AA54" s="233">
        <f t="shared" si="2"/>
        <v>1071.2000000000003</v>
      </c>
      <c r="AB54" s="233"/>
      <c r="AC54" s="233"/>
      <c r="AD54" s="233"/>
      <c r="AE54" s="233"/>
      <c r="AF54" s="233"/>
      <c r="AG54" s="852">
        <f t="shared" si="3"/>
        <v>7291.1280000000006</v>
      </c>
      <c r="AH54" s="848"/>
    </row>
    <row r="55" spans="1:34" s="825"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U55" s="233"/>
      <c r="V55" s="238" t="s">
        <v>335</v>
      </c>
      <c r="W55" s="826">
        <v>0.25323863727730983</v>
      </c>
      <c r="X55" s="821">
        <v>166</v>
      </c>
      <c r="Y55" s="700">
        <f t="shared" si="0"/>
        <v>12000</v>
      </c>
      <c r="Z55" s="700">
        <f t="shared" si="1"/>
        <v>12000000</v>
      </c>
      <c r="AA55" s="233">
        <f t="shared" si="2"/>
        <v>11062898.0406</v>
      </c>
      <c r="AB55" s="233"/>
      <c r="AC55" s="233"/>
      <c r="AD55" s="233"/>
      <c r="AE55" s="233"/>
      <c r="AF55" s="233"/>
      <c r="AG55" s="852">
        <f t="shared" si="3"/>
        <v>12000</v>
      </c>
      <c r="AH55" s="848"/>
    </row>
    <row r="56" spans="1:34" s="825"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U56" s="233"/>
      <c r="V56" s="238" t="s">
        <v>336</v>
      </c>
      <c r="W56" s="821">
        <v>20</v>
      </c>
      <c r="X56" s="821">
        <v>20</v>
      </c>
      <c r="Y56" s="700">
        <f t="shared" si="0"/>
        <v>321851.19999999995</v>
      </c>
      <c r="Z56" s="700">
        <f t="shared" si="1"/>
        <v>321851199.99999994</v>
      </c>
      <c r="AA56" s="233">
        <f t="shared" si="2"/>
        <v>14623.152600000034</v>
      </c>
      <c r="AB56" s="233"/>
      <c r="AC56" s="233"/>
      <c r="AD56" s="233"/>
      <c r="AE56" s="233"/>
      <c r="AF56" s="233"/>
      <c r="AG56" s="852">
        <f t="shared" si="3"/>
        <v>321851.19999999995</v>
      </c>
      <c r="AH56" s="848"/>
    </row>
    <row r="57" spans="1:34" s="825"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U57" s="233"/>
      <c r="V57" s="238" t="s">
        <v>337</v>
      </c>
      <c r="W57" s="821">
        <v>0</v>
      </c>
      <c r="X57" s="822">
        <v>0</v>
      </c>
      <c r="Y57" s="700">
        <f t="shared" si="0"/>
        <v>0</v>
      </c>
      <c r="Z57" s="700">
        <f t="shared" si="1"/>
        <v>0</v>
      </c>
      <c r="AA57" s="233">
        <f t="shared" si="2"/>
        <v>0</v>
      </c>
      <c r="AB57" s="233"/>
      <c r="AC57" s="233"/>
      <c r="AD57" s="233"/>
      <c r="AE57" s="233"/>
      <c r="AF57" s="233"/>
      <c r="AG57" s="852">
        <f t="shared" si="3"/>
        <v>0</v>
      </c>
      <c r="AH57" s="848"/>
    </row>
    <row r="58" spans="1:34" s="825"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U58" s="233"/>
      <c r="V58" s="238" t="s">
        <v>338</v>
      </c>
      <c r="W58" s="822">
        <v>0</v>
      </c>
      <c r="X58" s="822">
        <v>4.5999999999999996</v>
      </c>
      <c r="Y58" s="700">
        <f t="shared" si="0"/>
        <v>0</v>
      </c>
      <c r="Z58" s="700">
        <f t="shared" si="1"/>
        <v>0</v>
      </c>
      <c r="AA58" s="233">
        <f t="shared" si="2"/>
        <v>2402.0559900799144</v>
      </c>
      <c r="AB58" s="233"/>
      <c r="AC58" s="233"/>
      <c r="AD58" s="233"/>
      <c r="AE58" s="233"/>
      <c r="AF58" s="233"/>
      <c r="AG58" s="852">
        <f t="shared" si="3"/>
        <v>0</v>
      </c>
      <c r="AH58" s="848"/>
    </row>
    <row r="59" spans="1:34" s="825"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U59" s="233"/>
      <c r="V59" s="238" t="s">
        <v>339</v>
      </c>
      <c r="W59" s="822">
        <v>0</v>
      </c>
      <c r="X59" s="822">
        <v>0</v>
      </c>
      <c r="Y59" s="700">
        <f t="shared" si="0"/>
        <v>0</v>
      </c>
      <c r="Z59" s="700">
        <f t="shared" si="1"/>
        <v>0</v>
      </c>
      <c r="AA59" s="233">
        <f t="shared" si="2"/>
        <v>0</v>
      </c>
      <c r="AB59" s="233"/>
      <c r="AC59" s="233"/>
      <c r="AD59" s="233"/>
      <c r="AE59" s="233"/>
      <c r="AF59" s="233"/>
      <c r="AG59" s="852">
        <f t="shared" si="3"/>
        <v>0</v>
      </c>
      <c r="AH59" s="848"/>
    </row>
    <row r="60" spans="1:34" s="825"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U60" s="233"/>
      <c r="V60" s="238" t="s">
        <v>340</v>
      </c>
      <c r="W60" s="822">
        <v>0</v>
      </c>
      <c r="X60" s="822">
        <v>6.3</v>
      </c>
      <c r="Y60" s="700">
        <f t="shared" si="0"/>
        <v>0</v>
      </c>
      <c r="Z60" s="700">
        <f t="shared" si="1"/>
        <v>0</v>
      </c>
      <c r="AA60" s="233">
        <f t="shared" si="2"/>
        <v>25581.921592500003</v>
      </c>
      <c r="AB60" s="233"/>
      <c r="AC60" s="233"/>
      <c r="AD60" s="233"/>
      <c r="AE60" s="233"/>
      <c r="AF60" s="233"/>
      <c r="AG60" s="852">
        <f t="shared" si="3"/>
        <v>0</v>
      </c>
      <c r="AH60" s="848"/>
    </row>
    <row r="61" spans="1:34" s="825"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U61" s="233"/>
      <c r="V61" s="238" t="s">
        <v>341</v>
      </c>
      <c r="W61" s="821">
        <v>0</v>
      </c>
      <c r="X61" s="821">
        <v>4</v>
      </c>
      <c r="Y61" s="700">
        <f t="shared" si="0"/>
        <v>0</v>
      </c>
      <c r="Z61" s="700">
        <f t="shared" si="1"/>
        <v>0</v>
      </c>
      <c r="AA61" s="233">
        <f t="shared" si="2"/>
        <v>23671.488511999989</v>
      </c>
      <c r="AB61" s="233"/>
      <c r="AC61" s="233"/>
      <c r="AD61" s="233"/>
      <c r="AE61" s="233"/>
      <c r="AF61" s="233"/>
      <c r="AG61" s="852">
        <f t="shared" si="3"/>
        <v>0</v>
      </c>
      <c r="AH61" s="848"/>
    </row>
    <row r="62" spans="1:34" s="825"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U62" s="233"/>
      <c r="V62" s="238" t="s">
        <v>342</v>
      </c>
      <c r="W62" s="822">
        <v>0</v>
      </c>
      <c r="X62" s="822">
        <v>0</v>
      </c>
      <c r="Y62" s="700">
        <f t="shared" si="0"/>
        <v>0</v>
      </c>
      <c r="Z62" s="700">
        <f t="shared" si="1"/>
        <v>0</v>
      </c>
      <c r="AA62" s="233">
        <f t="shared" si="2"/>
        <v>0</v>
      </c>
      <c r="AB62" s="233"/>
      <c r="AC62" s="233"/>
      <c r="AD62" s="233"/>
      <c r="AE62" s="233"/>
      <c r="AF62" s="233"/>
      <c r="AG62" s="852">
        <f t="shared" si="3"/>
        <v>0</v>
      </c>
      <c r="AH62" s="848"/>
    </row>
    <row r="63" spans="1:34" s="825"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U63" s="233"/>
      <c r="V63" s="238" t="s">
        <v>343</v>
      </c>
      <c r="W63" s="822">
        <v>0</v>
      </c>
      <c r="X63" s="822">
        <v>0</v>
      </c>
      <c r="Y63" s="700">
        <f t="shared" si="0"/>
        <v>0</v>
      </c>
      <c r="Z63" s="700">
        <f t="shared" si="1"/>
        <v>0</v>
      </c>
      <c r="AA63" s="233">
        <f t="shared" si="2"/>
        <v>0</v>
      </c>
      <c r="AB63" s="233"/>
      <c r="AC63" s="233"/>
      <c r="AD63" s="233"/>
      <c r="AE63" s="233"/>
      <c r="AF63" s="233"/>
      <c r="AG63" s="852">
        <f t="shared" si="3"/>
        <v>0</v>
      </c>
      <c r="AH63" s="848"/>
    </row>
    <row r="64" spans="1:34" s="825"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U64" s="233"/>
      <c r="V64" s="238" t="s">
        <v>344</v>
      </c>
      <c r="W64" s="822">
        <v>0</v>
      </c>
      <c r="X64" s="822">
        <v>0</v>
      </c>
      <c r="Y64" s="700">
        <f t="shared" si="0"/>
        <v>0</v>
      </c>
      <c r="Z64" s="700">
        <f t="shared" si="1"/>
        <v>0</v>
      </c>
      <c r="AA64" s="233">
        <f t="shared" si="2"/>
        <v>0</v>
      </c>
      <c r="AB64" s="233"/>
      <c r="AC64" s="233"/>
      <c r="AD64" s="233"/>
      <c r="AE64" s="233"/>
      <c r="AF64" s="233"/>
      <c r="AG64" s="852">
        <f t="shared" si="3"/>
        <v>0</v>
      </c>
      <c r="AH64" s="848"/>
    </row>
    <row r="65" spans="1:34" s="825"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U65" s="233"/>
      <c r="V65" s="238" t="s">
        <v>345</v>
      </c>
      <c r="W65" s="821">
        <v>0</v>
      </c>
      <c r="X65" s="822">
        <v>1.2</v>
      </c>
      <c r="Y65" s="700">
        <f t="shared" si="0"/>
        <v>0</v>
      </c>
      <c r="Z65" s="700">
        <f t="shared" si="1"/>
        <v>0</v>
      </c>
      <c r="AA65" s="233">
        <f t="shared" si="2"/>
        <v>167822.77200000008</v>
      </c>
      <c r="AB65" s="233"/>
      <c r="AC65" s="233"/>
      <c r="AD65" s="233"/>
      <c r="AE65" s="233"/>
      <c r="AF65" s="233"/>
      <c r="AG65" s="852">
        <f t="shared" si="3"/>
        <v>0</v>
      </c>
      <c r="AH65" s="848"/>
    </row>
    <row r="66" spans="1:34" s="825"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759">
        <v>0</v>
      </c>
      <c r="X66" s="759">
        <v>0</v>
      </c>
      <c r="Y66" s="700">
        <f t="shared" si="0"/>
        <v>0</v>
      </c>
      <c r="Z66" s="700">
        <f t="shared" si="1"/>
        <v>0</v>
      </c>
      <c r="AA66" s="233">
        <f t="shared" si="2"/>
        <v>0</v>
      </c>
      <c r="AB66" s="233"/>
      <c r="AC66" s="233"/>
      <c r="AD66" s="233"/>
      <c r="AE66" s="233"/>
      <c r="AF66" s="233"/>
      <c r="AG66" s="852">
        <f t="shared" si="3"/>
        <v>0</v>
      </c>
      <c r="AH66" s="848"/>
    </row>
    <row r="67" spans="1:34" s="825"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759">
        <v>0</v>
      </c>
      <c r="X67" s="759">
        <v>0</v>
      </c>
      <c r="Y67" s="700">
        <f t="shared" si="0"/>
        <v>0</v>
      </c>
      <c r="Z67" s="700">
        <f t="shared" si="1"/>
        <v>0</v>
      </c>
      <c r="AA67" s="233">
        <f t="shared" si="2"/>
        <v>0</v>
      </c>
      <c r="AB67" s="233"/>
      <c r="AC67" s="233"/>
      <c r="AD67" s="233"/>
      <c r="AE67" s="233"/>
      <c r="AF67" s="233"/>
      <c r="AG67" s="852">
        <f t="shared" si="3"/>
        <v>0</v>
      </c>
      <c r="AH67" s="848"/>
    </row>
    <row r="68" spans="1:34" s="825"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233"/>
      <c r="AF68" s="233"/>
      <c r="AG68" s="852">
        <f t="shared" si="3"/>
        <v>0</v>
      </c>
      <c r="AH68" s="848"/>
    </row>
    <row r="69" spans="1:34" s="825" customFormat="1" ht="1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4308191.5551926913</v>
      </c>
      <c r="Z69" s="700">
        <f>SUM(Z4:Z67)</f>
        <v>4308191555.1926908</v>
      </c>
      <c r="AA69" s="233">
        <f>SUM(AA4:AA67)</f>
        <v>22120968.325931273</v>
      </c>
      <c r="AB69" s="233"/>
      <c r="AC69" s="233"/>
      <c r="AD69" s="233"/>
      <c r="AE69" s="233"/>
      <c r="AF69" s="233"/>
      <c r="AG69" s="853">
        <f>SUM(AG4:AG68)</f>
        <v>4308191.5551926913</v>
      </c>
      <c r="AH69" s="854"/>
    </row>
    <row r="70" spans="1:34" ht="18.600000000000001" thickBot="1">
      <c r="A70" s="959" t="s">
        <v>274</v>
      </c>
      <c r="B70" s="960"/>
      <c r="C70" s="960"/>
      <c r="D70" s="960"/>
      <c r="E70" s="961"/>
      <c r="Y70" s="700">
        <f>Y69/1000</f>
        <v>4308.1915551926913</v>
      </c>
      <c r="Z70" s="700"/>
      <c r="AA70" s="233">
        <f>AA69/1000</f>
        <v>22120.968325931273</v>
      </c>
    </row>
    <row r="71" spans="1:34" ht="16.2" thickBot="1">
      <c r="A71" s="962"/>
      <c r="B71" s="963">
        <v>2017</v>
      </c>
      <c r="C71" s="963"/>
      <c r="D71" s="963"/>
      <c r="E71" s="964"/>
    </row>
    <row r="72" spans="1:34" ht="18.600000000000001" thickBot="1">
      <c r="A72" s="956"/>
      <c r="B72" s="965" t="s">
        <v>276</v>
      </c>
      <c r="C72" s="965"/>
      <c r="D72" s="965" t="s">
        <v>277</v>
      </c>
      <c r="E72" s="966"/>
      <c r="G72" s="952" t="s">
        <v>1512</v>
      </c>
      <c r="H72" s="953"/>
      <c r="I72" s="954"/>
    </row>
    <row r="73" spans="1:34">
      <c r="A73" s="956"/>
      <c r="B73" s="231" t="s">
        <v>281</v>
      </c>
      <c r="C73" s="231" t="s">
        <v>282</v>
      </c>
      <c r="D73" s="231" t="s">
        <v>281</v>
      </c>
      <c r="E73" s="232" t="s">
        <v>282</v>
      </c>
      <c r="G73" s="695"/>
      <c r="H73" s="696" t="s">
        <v>1516</v>
      </c>
      <c r="I73" s="697" t="s">
        <v>403</v>
      </c>
    </row>
    <row r="74" spans="1:34">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34">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34" ht="29.4"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34">
      <c r="A77" s="213" t="s">
        <v>351</v>
      </c>
      <c r="B77" s="235">
        <f>SUBTOTAL(9,B14:B18)</f>
        <v>59085.447560000001</v>
      </c>
      <c r="C77" s="235">
        <f>SUBTOTAL(9,C14:C18)</f>
        <v>0</v>
      </c>
      <c r="D77" s="235">
        <f>SUBTOTAL(9,D14:D18)</f>
        <v>41185.536200000002</v>
      </c>
      <c r="E77" s="236">
        <f>SUBTOTAL(9,E14:E18)</f>
        <v>0</v>
      </c>
    </row>
    <row r="78" spans="1:34">
      <c r="A78" s="213" t="s">
        <v>352</v>
      </c>
      <c r="B78" s="235">
        <f>SUBTOTAL(9,B19:B22)</f>
        <v>26211.005299999997</v>
      </c>
      <c r="C78" s="235">
        <f>SUBTOTAL(9,C19:C22)</f>
        <v>0</v>
      </c>
      <c r="D78" s="235">
        <f>SUBTOTAL(9,D19:D22)</f>
        <v>93866.897280000005</v>
      </c>
      <c r="E78" s="236">
        <f>SUBTOTAL(9,E19:E22)</f>
        <v>0</v>
      </c>
    </row>
    <row r="79" spans="1:34">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34">
      <c r="A80" s="214" t="s">
        <v>354</v>
      </c>
      <c r="B80" s="235">
        <f>SUBTOTAL(9,B31:B48)</f>
        <v>1055136.31693</v>
      </c>
      <c r="C80" s="235">
        <f>SUBTOTAL(9,C31:C48)</f>
        <v>0</v>
      </c>
      <c r="D80" s="235">
        <f>SUBTOTAL(9,D31:D48)</f>
        <v>424609.34938899992</v>
      </c>
      <c r="E80" s="236">
        <f>SUBTOTAL(9,E31:E48)</f>
        <v>0</v>
      </c>
      <c r="G80" s="617"/>
      <c r="H80" s="307">
        <v>7.5999999999999998E-2</v>
      </c>
    </row>
    <row r="81" spans="1:8">
      <c r="A81" s="213" t="s">
        <v>355</v>
      </c>
      <c r="B81" s="235">
        <f>SUBTOTAL(9,B49:B51)</f>
        <v>0</v>
      </c>
      <c r="C81" s="235">
        <f>SUBTOTAL(9,C49:C51)</f>
        <v>0</v>
      </c>
      <c r="D81" s="235">
        <f>SUBTOTAL(9,D49:D51)</f>
        <v>131959.90244999999</v>
      </c>
      <c r="E81" s="236">
        <f>SUBTOTAL(9,E49:E51)</f>
        <v>0</v>
      </c>
    </row>
    <row r="82" spans="1:8">
      <c r="A82" s="213" t="s">
        <v>356</v>
      </c>
      <c r="B82" s="235">
        <f>SUBTOTAL(9,B52:B55)</f>
        <v>29010.560000000001</v>
      </c>
      <c r="C82" s="235">
        <f>SUBTOTAL(9,C52:C55)</f>
        <v>0</v>
      </c>
      <c r="D82" s="235">
        <f>SUBTOTAL(9,D52:D55)</f>
        <v>239743.58899999998</v>
      </c>
      <c r="E82" s="236">
        <f>SUBTOTAL(9,E52:E55)</f>
        <v>0</v>
      </c>
    </row>
    <row r="83" spans="1:8">
      <c r="A83" s="213" t="s">
        <v>357</v>
      </c>
      <c r="B83" s="235">
        <f>SUBTOTAL(9,B56:B61)</f>
        <v>572444.57513999997</v>
      </c>
      <c r="C83" s="235">
        <f>SUBTOTAL(9,C56:C61)</f>
        <v>0</v>
      </c>
      <c r="D83" s="235">
        <f>SUBTOTAL(9,D56:D61)</f>
        <v>71957.930289799973</v>
      </c>
      <c r="E83" s="236">
        <f>SUBTOTAL(9,E56:E61)</f>
        <v>0</v>
      </c>
      <c r="H83" s="700"/>
    </row>
    <row r="84" spans="1:8">
      <c r="A84" s="213" t="s">
        <v>341</v>
      </c>
      <c r="B84" s="235">
        <f>SUBTOTAL(9,B62:B62)</f>
        <v>124440.4</v>
      </c>
      <c r="C84" s="235">
        <f>SUBTOTAL(9,C62:C62)</f>
        <v>0</v>
      </c>
      <c r="D84" s="235">
        <f>SUBTOTAL(9,D62:D62)</f>
        <v>5917.8721279999972</v>
      </c>
      <c r="E84" s="236">
        <f>SUBTOTAL(9,E62:E62)</f>
        <v>0</v>
      </c>
      <c r="H84" s="700"/>
    </row>
    <row r="85" spans="1:8">
      <c r="A85" s="213" t="s">
        <v>358</v>
      </c>
      <c r="B85" s="235">
        <f>SUBTOTAL(9,B63:B65)</f>
        <v>8392.0399999999991</v>
      </c>
      <c r="C85" s="235">
        <f>SUBTOTAL(9,C63:C65)</f>
        <v>0</v>
      </c>
      <c r="D85" s="235">
        <f>SUBTOTAL(9,D63:D65)</f>
        <v>66740.056571874564</v>
      </c>
      <c r="E85" s="236">
        <f>SUBTOTAL(9,E63:E65)</f>
        <v>0</v>
      </c>
      <c r="H85" s="700"/>
    </row>
    <row r="86" spans="1:8" ht="1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workbookViewId="0">
      <selection activeCell="L2" sqref="L2"/>
    </sheetView>
  </sheetViews>
  <sheetFormatPr defaultRowHeight="14.4"/>
  <cols>
    <col min="1" max="1" width="5.77734375" bestFit="1" customWidth="1"/>
    <col min="2" max="2" width="6.6640625" bestFit="1" customWidth="1"/>
    <col min="3" max="3" width="13.44140625" bestFit="1" customWidth="1"/>
    <col min="4" max="4" width="14.77734375" bestFit="1" customWidth="1"/>
    <col min="5" max="5" width="13.44140625" bestFit="1" customWidth="1"/>
    <col min="6" max="6" width="13.33203125" bestFit="1" customWidth="1"/>
    <col min="9" max="9" width="13.33203125" bestFit="1" customWidth="1"/>
    <col min="10" max="10" width="20.88671875" bestFit="1" customWidth="1"/>
  </cols>
  <sheetData>
    <row r="1" spans="1:10" s="857" customFormat="1" thickBot="1">
      <c r="A1" s="855"/>
      <c r="B1" s="855"/>
      <c r="C1" s="856" t="s">
        <v>1624</v>
      </c>
      <c r="D1" s="855"/>
    </row>
    <row r="2" spans="1:10" s="857" customFormat="1" ht="16.2" thickBot="1">
      <c r="A2" s="858" t="s">
        <v>1531</v>
      </c>
      <c r="B2" s="859" t="s">
        <v>1625</v>
      </c>
      <c r="C2" s="859" t="s">
        <v>1626</v>
      </c>
      <c r="D2" s="859" t="s">
        <v>1627</v>
      </c>
      <c r="E2" s="859" t="s">
        <v>1626</v>
      </c>
      <c r="F2" s="860" t="s">
        <v>1628</v>
      </c>
    </row>
    <row r="3" spans="1:10" s="857" customFormat="1" thickBot="1">
      <c r="A3" s="861">
        <v>2011</v>
      </c>
      <c r="B3" s="862">
        <f t="shared" ref="B3:B13" si="0">A3-$A$14</f>
        <v>-11</v>
      </c>
      <c r="C3" s="863">
        <v>0.66300000000000003</v>
      </c>
      <c r="F3" s="864"/>
    </row>
    <row r="4" spans="1:10" s="857" customFormat="1" thickBot="1">
      <c r="A4" s="865">
        <v>2012</v>
      </c>
      <c r="B4" s="866">
        <f t="shared" si="0"/>
        <v>-10</v>
      </c>
      <c r="C4" s="866">
        <v>0.63700000000000001</v>
      </c>
      <c r="F4" s="864"/>
      <c r="I4" s="867">
        <f>(30-16)/(30-17)</f>
        <v>1.0769230769230769</v>
      </c>
      <c r="J4" s="868" t="s">
        <v>1629</v>
      </c>
    </row>
    <row r="5" spans="1:10" s="857" customFormat="1" ht="13.8">
      <c r="A5" s="865">
        <v>2013</v>
      </c>
      <c r="B5" s="866">
        <f t="shared" si="0"/>
        <v>-9</v>
      </c>
      <c r="C5" s="866">
        <v>0.63600000000000001</v>
      </c>
      <c r="F5" s="864"/>
    </row>
    <row r="6" spans="1:10" s="857" customFormat="1" ht="13.8">
      <c r="A6" s="865">
        <v>2014</v>
      </c>
      <c r="B6" s="866">
        <f t="shared" si="0"/>
        <v>-8</v>
      </c>
      <c r="C6" s="866">
        <v>0.61699999999999999</v>
      </c>
      <c r="F6" s="864"/>
    </row>
    <row r="7" spans="1:10" s="857" customFormat="1" thickBot="1">
      <c r="A7" s="865">
        <v>2015</v>
      </c>
      <c r="B7" s="866">
        <f t="shared" si="0"/>
        <v>-7</v>
      </c>
      <c r="C7" s="866">
        <v>0.59599999999999997</v>
      </c>
      <c r="F7" s="864"/>
    </row>
    <row r="8" spans="1:10" s="857" customFormat="1" ht="15.6">
      <c r="A8" s="865">
        <v>2016</v>
      </c>
      <c r="B8" s="866">
        <f t="shared" si="0"/>
        <v>-6</v>
      </c>
      <c r="C8" s="866">
        <v>0.58399999999999996</v>
      </c>
      <c r="F8" s="864"/>
      <c r="I8" s="869" t="s">
        <v>1630</v>
      </c>
      <c r="J8" s="870" t="s">
        <v>1628</v>
      </c>
    </row>
    <row r="9" spans="1:10" s="857" customFormat="1" ht="13.8">
      <c r="A9" s="865">
        <v>2017</v>
      </c>
      <c r="B9" s="866">
        <f t="shared" si="0"/>
        <v>-5</v>
      </c>
      <c r="C9" s="866">
        <v>0.57899999999999996</v>
      </c>
      <c r="D9" s="866">
        <v>15</v>
      </c>
      <c r="E9" s="866">
        <f>0.008+0.045*(C9/0.9)*$D$9/D9</f>
        <v>3.6949999999999997E-2</v>
      </c>
      <c r="F9" s="871">
        <f>E9*1000</f>
        <v>36.949999999999996</v>
      </c>
      <c r="I9" s="865">
        <v>2017</v>
      </c>
      <c r="J9" s="871">
        <f t="shared" ref="J9:J42" si="1">F9</f>
        <v>36.949999999999996</v>
      </c>
    </row>
    <row r="10" spans="1:10" s="857" customFormat="1" ht="13.8">
      <c r="A10" s="865">
        <v>2018</v>
      </c>
      <c r="B10" s="866">
        <f t="shared" si="0"/>
        <v>-4</v>
      </c>
      <c r="C10" s="866">
        <v>0.57399999999999995</v>
      </c>
      <c r="D10" s="866">
        <f t="shared" ref="D10:D21" si="2">D9+$I$4</f>
        <v>16.076923076923077</v>
      </c>
      <c r="E10" s="866">
        <f t="shared" ref="E10:E42" si="3">0.008+0.045*(C10/0.9)*$D$9/D10</f>
        <v>3.4777511961722476E-2</v>
      </c>
      <c r="F10" s="871">
        <f t="shared" ref="F10:F42" si="4">E10*1000</f>
        <v>34.777511961722475</v>
      </c>
      <c r="I10" s="865">
        <v>2018</v>
      </c>
      <c r="J10" s="871">
        <f t="shared" si="1"/>
        <v>34.777511961722475</v>
      </c>
    </row>
    <row r="11" spans="1:10" s="857" customFormat="1" ht="13.8">
      <c r="A11" s="865">
        <v>2019</v>
      </c>
      <c r="B11" s="866">
        <f t="shared" si="0"/>
        <v>-3</v>
      </c>
      <c r="C11" s="866">
        <v>0.56000000000000005</v>
      </c>
      <c r="D11" s="866">
        <f t="shared" si="2"/>
        <v>17.153846153846153</v>
      </c>
      <c r="E11" s="866">
        <f t="shared" si="3"/>
        <v>3.2484304932735422E-2</v>
      </c>
      <c r="F11" s="871">
        <f t="shared" si="4"/>
        <v>32.484304932735419</v>
      </c>
      <c r="I11" s="865">
        <v>2019</v>
      </c>
      <c r="J11" s="871">
        <f t="shared" si="1"/>
        <v>32.484304932735419</v>
      </c>
    </row>
    <row r="12" spans="1:10" s="857" customFormat="1" ht="13.8">
      <c r="A12" s="865">
        <v>2020</v>
      </c>
      <c r="B12" s="866">
        <f t="shared" si="0"/>
        <v>-2</v>
      </c>
      <c r="C12" s="866">
        <v>0.55000000000000004</v>
      </c>
      <c r="D12" s="866">
        <f>D11+$I$4</f>
        <v>18.23076923076923</v>
      </c>
      <c r="E12" s="866">
        <f t="shared" si="3"/>
        <v>3.0626582278481012E-2</v>
      </c>
      <c r="F12" s="871">
        <f t="shared" si="4"/>
        <v>30.626582278481013</v>
      </c>
      <c r="I12" s="865">
        <v>2020</v>
      </c>
      <c r="J12" s="871">
        <f t="shared" si="1"/>
        <v>30.626582278481013</v>
      </c>
    </row>
    <row r="13" spans="1:10" s="857" customFormat="1" ht="13.8">
      <c r="A13" s="865">
        <v>2021</v>
      </c>
      <c r="B13" s="866">
        <f t="shared" si="0"/>
        <v>-1</v>
      </c>
      <c r="C13" s="866">
        <v>0.54</v>
      </c>
      <c r="D13" s="866">
        <f t="shared" si="2"/>
        <v>19.307692307692307</v>
      </c>
      <c r="E13" s="866">
        <f t="shared" si="3"/>
        <v>2.8976095617529882E-2</v>
      </c>
      <c r="F13" s="871">
        <f t="shared" si="4"/>
        <v>28.976095617529882</v>
      </c>
      <c r="I13" s="865">
        <v>2021</v>
      </c>
      <c r="J13" s="871">
        <f t="shared" si="1"/>
        <v>28.976095617529882</v>
      </c>
    </row>
    <row r="14" spans="1:10" s="857" customFormat="1" ht="13.8">
      <c r="A14" s="872">
        <v>2022</v>
      </c>
      <c r="B14" s="873">
        <f>A14-$A$14</f>
        <v>0</v>
      </c>
      <c r="C14" s="873">
        <v>0.53</v>
      </c>
      <c r="D14" s="866">
        <f t="shared" si="2"/>
        <v>20.384615384615383</v>
      </c>
      <c r="E14" s="866">
        <f>0.008+0.045*(C14/0.9)*$D$9/D14</f>
        <v>2.75E-2</v>
      </c>
      <c r="F14" s="871">
        <f t="shared" si="4"/>
        <v>27.5</v>
      </c>
      <c r="I14" s="865">
        <v>2022</v>
      </c>
      <c r="J14" s="871">
        <f t="shared" si="1"/>
        <v>27.5</v>
      </c>
    </row>
    <row r="15" spans="1:10" s="857" customFormat="1" ht="13.8">
      <c r="A15" s="865">
        <v>2023</v>
      </c>
      <c r="B15" s="866">
        <f t="shared" ref="B15:B42" si="5">A15-$A$14</f>
        <v>1</v>
      </c>
      <c r="C15" s="866">
        <f>$C$14-($C$14-0.1)/(2050-2022)*B15</f>
        <v>0.51464285714285718</v>
      </c>
      <c r="D15" s="866">
        <f t="shared" si="2"/>
        <v>21.46153846153846</v>
      </c>
      <c r="E15" s="866">
        <f t="shared" si="3"/>
        <v>2.5984831029185872E-2</v>
      </c>
      <c r="F15" s="871">
        <f t="shared" si="4"/>
        <v>25.984831029185873</v>
      </c>
      <c r="I15" s="865">
        <v>2023</v>
      </c>
      <c r="J15" s="871">
        <f t="shared" si="1"/>
        <v>25.984831029185873</v>
      </c>
    </row>
    <row r="16" spans="1:10" s="857" customFormat="1" ht="13.8">
      <c r="A16" s="865">
        <v>2024</v>
      </c>
      <c r="B16" s="866">
        <f t="shared" si="5"/>
        <v>2</v>
      </c>
      <c r="C16" s="866">
        <f t="shared" ref="C16:C42" si="6">$C$14-($C$14-0.1)/(2050-2022)*B16</f>
        <v>0.49928571428571433</v>
      </c>
      <c r="D16" s="866">
        <f t="shared" si="2"/>
        <v>22.538461538461537</v>
      </c>
      <c r="E16" s="866">
        <f>0.008+0.045*(C16/0.9)*$D$9/D16</f>
        <v>2.4614456362749879E-2</v>
      </c>
      <c r="F16" s="871">
        <f t="shared" si="4"/>
        <v>24.614456362749877</v>
      </c>
      <c r="I16" s="865">
        <v>2024</v>
      </c>
      <c r="J16" s="871">
        <f t="shared" si="1"/>
        <v>24.614456362749877</v>
      </c>
    </row>
    <row r="17" spans="1:10" s="857" customFormat="1" ht="13.8">
      <c r="A17" s="865">
        <v>2025</v>
      </c>
      <c r="B17" s="866">
        <f t="shared" si="5"/>
        <v>3</v>
      </c>
      <c r="C17" s="866">
        <f t="shared" si="6"/>
        <v>0.48392857142857143</v>
      </c>
      <c r="D17" s="866">
        <f t="shared" si="2"/>
        <v>23.615384615384613</v>
      </c>
      <c r="E17" s="866">
        <f t="shared" si="3"/>
        <v>2.3369067007910659E-2</v>
      </c>
      <c r="F17" s="871">
        <f t="shared" si="4"/>
        <v>23.369067007910658</v>
      </c>
      <c r="I17" s="865">
        <v>2025</v>
      </c>
      <c r="J17" s="871">
        <f t="shared" si="1"/>
        <v>23.369067007910658</v>
      </c>
    </row>
    <row r="18" spans="1:10" s="857" customFormat="1" ht="13.8">
      <c r="A18" s="865">
        <v>2026</v>
      </c>
      <c r="B18" s="866">
        <f t="shared" si="5"/>
        <v>4</v>
      </c>
      <c r="C18" s="866">
        <f t="shared" si="6"/>
        <v>0.46857142857142858</v>
      </c>
      <c r="D18" s="866">
        <f t="shared" si="2"/>
        <v>24.69230769230769</v>
      </c>
      <c r="E18" s="866">
        <f t="shared" si="3"/>
        <v>2.2232309746328442E-2</v>
      </c>
      <c r="F18" s="871">
        <f t="shared" si="4"/>
        <v>22.232309746328443</v>
      </c>
      <c r="I18" s="865">
        <v>2026</v>
      </c>
      <c r="J18" s="871">
        <f t="shared" si="1"/>
        <v>22.232309746328443</v>
      </c>
    </row>
    <row r="19" spans="1:10" s="857" customFormat="1" ht="13.8">
      <c r="A19" s="865">
        <v>2027</v>
      </c>
      <c r="B19" s="866">
        <f t="shared" si="5"/>
        <v>5</v>
      </c>
      <c r="C19" s="866">
        <f t="shared" si="6"/>
        <v>0.45321428571428574</v>
      </c>
      <c r="D19" s="866">
        <f t="shared" si="2"/>
        <v>25.769230769230766</v>
      </c>
      <c r="E19" s="866">
        <f t="shared" si="3"/>
        <v>2.1190565031982946E-2</v>
      </c>
      <c r="F19" s="871">
        <f t="shared" si="4"/>
        <v>21.190565031982945</v>
      </c>
      <c r="I19" s="865">
        <v>2027</v>
      </c>
      <c r="J19" s="871">
        <f t="shared" si="1"/>
        <v>21.190565031982945</v>
      </c>
    </row>
    <row r="20" spans="1:10" s="857" customFormat="1" ht="13.8">
      <c r="A20" s="865">
        <v>2028</v>
      </c>
      <c r="B20" s="866">
        <f t="shared" si="5"/>
        <v>6</v>
      </c>
      <c r="C20" s="866">
        <f t="shared" si="6"/>
        <v>0.43785714285714289</v>
      </c>
      <c r="D20" s="866">
        <f t="shared" si="2"/>
        <v>26.846153846153843</v>
      </c>
      <c r="E20" s="866">
        <f t="shared" si="3"/>
        <v>2.023239869013508E-2</v>
      </c>
      <c r="F20" s="871">
        <f t="shared" si="4"/>
        <v>20.232398690135081</v>
      </c>
      <c r="I20" s="865">
        <v>2028</v>
      </c>
      <c r="J20" s="871">
        <f t="shared" si="1"/>
        <v>20.232398690135081</v>
      </c>
    </row>
    <row r="21" spans="1:10" s="857" customFormat="1" ht="13.8">
      <c r="A21" s="865">
        <v>2029</v>
      </c>
      <c r="B21" s="866">
        <f t="shared" si="5"/>
        <v>7</v>
      </c>
      <c r="C21" s="866">
        <f t="shared" si="6"/>
        <v>0.42249999999999999</v>
      </c>
      <c r="D21" s="866">
        <f t="shared" si="2"/>
        <v>27.92307692307692</v>
      </c>
      <c r="E21" s="866">
        <f t="shared" si="3"/>
        <v>1.934814049586777E-2</v>
      </c>
      <c r="F21" s="871">
        <f t="shared" si="4"/>
        <v>19.348140495867771</v>
      </c>
      <c r="I21" s="865">
        <v>2029</v>
      </c>
      <c r="J21" s="871">
        <f t="shared" si="1"/>
        <v>19.348140495867771</v>
      </c>
    </row>
    <row r="22" spans="1:10" s="857" customFormat="1" ht="13.8">
      <c r="A22" s="865">
        <v>2030</v>
      </c>
      <c r="B22" s="866">
        <f t="shared" si="5"/>
        <v>8</v>
      </c>
      <c r="C22" s="866">
        <f t="shared" si="6"/>
        <v>0.40714285714285714</v>
      </c>
      <c r="D22" s="866">
        <v>30</v>
      </c>
      <c r="E22" s="866">
        <f t="shared" si="3"/>
        <v>1.8178571428571426E-2</v>
      </c>
      <c r="F22" s="871">
        <f t="shared" si="4"/>
        <v>18.178571428571427</v>
      </c>
      <c r="I22" s="865">
        <v>2030</v>
      </c>
      <c r="J22" s="871">
        <f t="shared" si="1"/>
        <v>18.178571428571427</v>
      </c>
    </row>
    <row r="23" spans="1:10" s="857" customFormat="1" ht="13.8">
      <c r="A23" s="865">
        <v>2031</v>
      </c>
      <c r="B23" s="866">
        <f t="shared" si="5"/>
        <v>9</v>
      </c>
      <c r="C23" s="866">
        <f t="shared" si="6"/>
        <v>0.39178571428571429</v>
      </c>
      <c r="D23" s="866">
        <v>30</v>
      </c>
      <c r="E23" s="866">
        <f t="shared" si="3"/>
        <v>1.7794642857142856E-2</v>
      </c>
      <c r="F23" s="871">
        <f t="shared" si="4"/>
        <v>17.794642857142858</v>
      </c>
      <c r="I23" s="865">
        <v>2031</v>
      </c>
      <c r="J23" s="871">
        <f t="shared" si="1"/>
        <v>17.794642857142858</v>
      </c>
    </row>
    <row r="24" spans="1:10" s="857" customFormat="1" ht="13.8">
      <c r="A24" s="865">
        <v>2032</v>
      </c>
      <c r="B24" s="866">
        <f t="shared" si="5"/>
        <v>10</v>
      </c>
      <c r="C24" s="866">
        <f t="shared" si="6"/>
        <v>0.37642857142857145</v>
      </c>
      <c r="D24" s="866">
        <v>30</v>
      </c>
      <c r="E24" s="866">
        <f t="shared" si="3"/>
        <v>1.7410714285714286E-2</v>
      </c>
      <c r="F24" s="871">
        <f t="shared" si="4"/>
        <v>17.410714285714285</v>
      </c>
      <c r="I24" s="865">
        <v>2032</v>
      </c>
      <c r="J24" s="871">
        <f t="shared" si="1"/>
        <v>17.410714285714285</v>
      </c>
    </row>
    <row r="25" spans="1:10" s="857" customFormat="1" ht="13.8">
      <c r="A25" s="865">
        <v>2033</v>
      </c>
      <c r="B25" s="866">
        <f t="shared" si="5"/>
        <v>11</v>
      </c>
      <c r="C25" s="866">
        <f t="shared" si="6"/>
        <v>0.3610714285714286</v>
      </c>
      <c r="D25" s="866">
        <v>30</v>
      </c>
      <c r="E25" s="866">
        <f t="shared" si="3"/>
        <v>1.7026785714285717E-2</v>
      </c>
      <c r="F25" s="871">
        <f t="shared" si="4"/>
        <v>17.026785714285715</v>
      </c>
      <c r="I25" s="865">
        <v>2033</v>
      </c>
      <c r="J25" s="871">
        <f t="shared" si="1"/>
        <v>17.026785714285715</v>
      </c>
    </row>
    <row r="26" spans="1:10" s="857" customFormat="1" ht="13.8">
      <c r="A26" s="865">
        <v>2034</v>
      </c>
      <c r="B26" s="866">
        <f t="shared" si="5"/>
        <v>12</v>
      </c>
      <c r="C26" s="866">
        <f t="shared" si="6"/>
        <v>0.34571428571428575</v>
      </c>
      <c r="D26" s="866">
        <v>30</v>
      </c>
      <c r="E26" s="866">
        <f t="shared" si="3"/>
        <v>1.6642857142857143E-2</v>
      </c>
      <c r="F26" s="871">
        <f t="shared" si="4"/>
        <v>16.642857142857142</v>
      </c>
      <c r="I26" s="865">
        <v>2034</v>
      </c>
      <c r="J26" s="871">
        <f t="shared" si="1"/>
        <v>16.642857142857142</v>
      </c>
    </row>
    <row r="27" spans="1:10" s="857" customFormat="1" ht="13.8">
      <c r="A27" s="865">
        <v>2035</v>
      </c>
      <c r="B27" s="866">
        <f t="shared" si="5"/>
        <v>13</v>
      </c>
      <c r="C27" s="866">
        <f t="shared" si="6"/>
        <v>0.33035714285714285</v>
      </c>
      <c r="D27" s="866">
        <v>30</v>
      </c>
      <c r="E27" s="866">
        <f t="shared" si="3"/>
        <v>1.625892857142857E-2</v>
      </c>
      <c r="F27" s="871">
        <f t="shared" si="4"/>
        <v>16.258928571428569</v>
      </c>
      <c r="I27" s="865">
        <v>2035</v>
      </c>
      <c r="J27" s="871">
        <f t="shared" si="1"/>
        <v>16.258928571428569</v>
      </c>
    </row>
    <row r="28" spans="1:10" s="857" customFormat="1" ht="13.8">
      <c r="A28" s="865">
        <v>2036</v>
      </c>
      <c r="B28" s="866">
        <f t="shared" si="5"/>
        <v>14</v>
      </c>
      <c r="C28" s="866">
        <f t="shared" si="6"/>
        <v>0.315</v>
      </c>
      <c r="D28" s="866">
        <v>30</v>
      </c>
      <c r="E28" s="866">
        <f t="shared" si="3"/>
        <v>1.5875E-2</v>
      </c>
      <c r="F28" s="871">
        <f t="shared" si="4"/>
        <v>15.875</v>
      </c>
      <c r="I28" s="865">
        <v>2036</v>
      </c>
      <c r="J28" s="871">
        <f t="shared" si="1"/>
        <v>15.875</v>
      </c>
    </row>
    <row r="29" spans="1:10" s="857" customFormat="1" ht="13.8">
      <c r="A29" s="865">
        <v>2037</v>
      </c>
      <c r="B29" s="866">
        <f t="shared" si="5"/>
        <v>15</v>
      </c>
      <c r="C29" s="866">
        <f t="shared" si="6"/>
        <v>0.2996428571428571</v>
      </c>
      <c r="D29" s="866">
        <v>30</v>
      </c>
      <c r="E29" s="866">
        <f t="shared" si="3"/>
        <v>1.5491071428571427E-2</v>
      </c>
      <c r="F29" s="871">
        <f t="shared" si="4"/>
        <v>15.491071428571427</v>
      </c>
      <c r="I29" s="865">
        <v>2037</v>
      </c>
      <c r="J29" s="871">
        <f t="shared" si="1"/>
        <v>15.491071428571427</v>
      </c>
    </row>
    <row r="30" spans="1:10" s="857" customFormat="1" ht="13.8">
      <c r="A30" s="865">
        <v>2038</v>
      </c>
      <c r="B30" s="866">
        <f t="shared" si="5"/>
        <v>16</v>
      </c>
      <c r="C30" s="866">
        <f t="shared" si="6"/>
        <v>0.28428571428571425</v>
      </c>
      <c r="D30" s="866">
        <v>30</v>
      </c>
      <c r="E30" s="866">
        <f t="shared" si="3"/>
        <v>1.5107142857142855E-2</v>
      </c>
      <c r="F30" s="871">
        <f t="shared" si="4"/>
        <v>15.107142857142856</v>
      </c>
      <c r="I30" s="865">
        <v>2038</v>
      </c>
      <c r="J30" s="871">
        <f t="shared" si="1"/>
        <v>15.107142857142856</v>
      </c>
    </row>
    <row r="31" spans="1:10" s="857" customFormat="1" ht="13.8">
      <c r="A31" s="865">
        <v>2039</v>
      </c>
      <c r="B31" s="866">
        <f t="shared" si="5"/>
        <v>17</v>
      </c>
      <c r="C31" s="866">
        <f t="shared" si="6"/>
        <v>0.26892857142857141</v>
      </c>
      <c r="D31" s="866">
        <v>30</v>
      </c>
      <c r="E31" s="866">
        <f t="shared" si="3"/>
        <v>1.4723214285714286E-2</v>
      </c>
      <c r="F31" s="871">
        <f t="shared" si="4"/>
        <v>14.723214285714286</v>
      </c>
      <c r="I31" s="865">
        <v>2039</v>
      </c>
      <c r="J31" s="871">
        <f t="shared" si="1"/>
        <v>14.723214285714286</v>
      </c>
    </row>
    <row r="32" spans="1:10" s="857" customFormat="1" ht="13.8">
      <c r="A32" s="865">
        <v>2040</v>
      </c>
      <c r="B32" s="866">
        <f t="shared" si="5"/>
        <v>18</v>
      </c>
      <c r="C32" s="866">
        <f t="shared" si="6"/>
        <v>0.25357142857142856</v>
      </c>
      <c r="D32" s="866">
        <v>30</v>
      </c>
      <c r="E32" s="866">
        <f t="shared" si="3"/>
        <v>1.4339285714285714E-2</v>
      </c>
      <c r="F32" s="871">
        <f t="shared" si="4"/>
        <v>14.339285714285714</v>
      </c>
      <c r="I32" s="865">
        <v>2040</v>
      </c>
      <c r="J32" s="871">
        <f t="shared" si="1"/>
        <v>14.339285714285714</v>
      </c>
    </row>
    <row r="33" spans="1:10" s="857" customFormat="1" ht="13.8">
      <c r="A33" s="865">
        <v>2041</v>
      </c>
      <c r="B33" s="866">
        <f t="shared" si="5"/>
        <v>19</v>
      </c>
      <c r="C33" s="866">
        <f t="shared" si="6"/>
        <v>0.23821428571428571</v>
      </c>
      <c r="D33" s="866">
        <v>30</v>
      </c>
      <c r="E33" s="866">
        <f t="shared" si="3"/>
        <v>1.3955357142857143E-2</v>
      </c>
      <c r="F33" s="871">
        <f t="shared" si="4"/>
        <v>13.955357142857142</v>
      </c>
      <c r="I33" s="865">
        <v>2041</v>
      </c>
      <c r="J33" s="871">
        <f t="shared" si="1"/>
        <v>13.955357142857142</v>
      </c>
    </row>
    <row r="34" spans="1:10" s="857" customFormat="1" ht="13.8">
      <c r="A34" s="865">
        <v>2042</v>
      </c>
      <c r="B34" s="866">
        <f t="shared" si="5"/>
        <v>20</v>
      </c>
      <c r="C34" s="866">
        <f t="shared" si="6"/>
        <v>0.22285714285714286</v>
      </c>
      <c r="D34" s="866">
        <v>30</v>
      </c>
      <c r="E34" s="866">
        <f t="shared" si="3"/>
        <v>1.3571428571428571E-2</v>
      </c>
      <c r="F34" s="871">
        <f t="shared" si="4"/>
        <v>13.571428571428571</v>
      </c>
      <c r="I34" s="865">
        <v>2042</v>
      </c>
      <c r="J34" s="871">
        <f t="shared" si="1"/>
        <v>13.571428571428571</v>
      </c>
    </row>
    <row r="35" spans="1:10" s="857" customFormat="1" ht="13.8">
      <c r="A35" s="865">
        <v>2043</v>
      </c>
      <c r="B35" s="866">
        <f t="shared" si="5"/>
        <v>21</v>
      </c>
      <c r="C35" s="866">
        <f t="shared" si="6"/>
        <v>0.20749999999999996</v>
      </c>
      <c r="D35" s="866">
        <v>30</v>
      </c>
      <c r="E35" s="866">
        <f t="shared" si="3"/>
        <v>1.3187499999999998E-2</v>
      </c>
      <c r="F35" s="871">
        <f t="shared" si="4"/>
        <v>13.187499999999998</v>
      </c>
      <c r="I35" s="865">
        <v>2043</v>
      </c>
      <c r="J35" s="871">
        <f t="shared" si="1"/>
        <v>13.187499999999998</v>
      </c>
    </row>
    <row r="36" spans="1:10" s="857" customFormat="1" ht="13.8">
      <c r="A36" s="865">
        <v>2044</v>
      </c>
      <c r="B36" s="866">
        <f t="shared" si="5"/>
        <v>22</v>
      </c>
      <c r="C36" s="866">
        <f t="shared" si="6"/>
        <v>0.19214285714285712</v>
      </c>
      <c r="D36" s="866">
        <v>30</v>
      </c>
      <c r="E36" s="866">
        <f t="shared" si="3"/>
        <v>1.2803571428571428E-2</v>
      </c>
      <c r="F36" s="871">
        <f t="shared" si="4"/>
        <v>12.803571428571429</v>
      </c>
      <c r="I36" s="865">
        <v>2044</v>
      </c>
      <c r="J36" s="871">
        <f t="shared" si="1"/>
        <v>12.803571428571429</v>
      </c>
    </row>
    <row r="37" spans="1:10" s="857" customFormat="1" ht="13.8">
      <c r="A37" s="865">
        <v>2045</v>
      </c>
      <c r="B37" s="866">
        <f t="shared" si="5"/>
        <v>23</v>
      </c>
      <c r="C37" s="866">
        <f t="shared" si="6"/>
        <v>0.17678571428571427</v>
      </c>
      <c r="D37" s="866">
        <v>30</v>
      </c>
      <c r="E37" s="866">
        <f t="shared" si="3"/>
        <v>1.2419642857142857E-2</v>
      </c>
      <c r="F37" s="871">
        <f t="shared" si="4"/>
        <v>12.419642857142856</v>
      </c>
      <c r="I37" s="865">
        <v>2045</v>
      </c>
      <c r="J37" s="871">
        <f t="shared" si="1"/>
        <v>12.419642857142856</v>
      </c>
    </row>
    <row r="38" spans="1:10" s="857" customFormat="1" ht="13.8">
      <c r="A38" s="865">
        <v>2046</v>
      </c>
      <c r="B38" s="866">
        <f t="shared" si="5"/>
        <v>24</v>
      </c>
      <c r="C38" s="866">
        <f t="shared" si="6"/>
        <v>0.16142857142857142</v>
      </c>
      <c r="D38" s="866">
        <v>30</v>
      </c>
      <c r="E38" s="866">
        <f t="shared" si="3"/>
        <v>1.2035714285714285E-2</v>
      </c>
      <c r="F38" s="871">
        <f t="shared" si="4"/>
        <v>12.035714285714285</v>
      </c>
      <c r="I38" s="865">
        <v>2046</v>
      </c>
      <c r="J38" s="871">
        <f t="shared" si="1"/>
        <v>12.035714285714285</v>
      </c>
    </row>
    <row r="39" spans="1:10" s="857" customFormat="1" ht="13.8">
      <c r="A39" s="865">
        <v>2047</v>
      </c>
      <c r="B39" s="866">
        <f t="shared" si="5"/>
        <v>25</v>
      </c>
      <c r="C39" s="866">
        <f t="shared" si="6"/>
        <v>0.14607142857142857</v>
      </c>
      <c r="D39" s="866">
        <v>30</v>
      </c>
      <c r="E39" s="866">
        <f t="shared" si="3"/>
        <v>1.1651785714285715E-2</v>
      </c>
      <c r="F39" s="871">
        <f t="shared" si="4"/>
        <v>11.651785714285715</v>
      </c>
      <c r="I39" s="865">
        <v>2047</v>
      </c>
      <c r="J39" s="871">
        <f t="shared" si="1"/>
        <v>11.651785714285715</v>
      </c>
    </row>
    <row r="40" spans="1:10" s="857" customFormat="1" ht="13.8">
      <c r="A40" s="865">
        <v>2048</v>
      </c>
      <c r="B40" s="866">
        <f t="shared" si="5"/>
        <v>26</v>
      </c>
      <c r="C40" s="866">
        <f t="shared" si="6"/>
        <v>0.13071428571428567</v>
      </c>
      <c r="D40" s="866">
        <v>30</v>
      </c>
      <c r="E40" s="866">
        <f t="shared" si="3"/>
        <v>1.1267857142857142E-2</v>
      </c>
      <c r="F40" s="871">
        <f t="shared" si="4"/>
        <v>11.267857142857142</v>
      </c>
      <c r="I40" s="865">
        <v>2048</v>
      </c>
      <c r="J40" s="871">
        <f t="shared" si="1"/>
        <v>11.267857142857142</v>
      </c>
    </row>
    <row r="41" spans="1:10" s="857" customFormat="1" ht="13.8">
      <c r="A41" s="865">
        <v>2049</v>
      </c>
      <c r="B41" s="866">
        <f t="shared" si="5"/>
        <v>27</v>
      </c>
      <c r="C41" s="866">
        <f t="shared" si="6"/>
        <v>0.11535714285714282</v>
      </c>
      <c r="D41" s="866">
        <v>30</v>
      </c>
      <c r="E41" s="866">
        <f t="shared" si="3"/>
        <v>1.088392857142857E-2</v>
      </c>
      <c r="F41" s="871">
        <f t="shared" si="4"/>
        <v>10.883928571428571</v>
      </c>
      <c r="I41" s="865">
        <v>2049</v>
      </c>
      <c r="J41" s="871">
        <f t="shared" si="1"/>
        <v>10.883928571428571</v>
      </c>
    </row>
    <row r="42" spans="1:10" s="857" customFormat="1" thickBot="1">
      <c r="A42" s="874">
        <v>2050</v>
      </c>
      <c r="B42" s="875">
        <f t="shared" si="5"/>
        <v>28</v>
      </c>
      <c r="C42" s="875">
        <f t="shared" si="6"/>
        <v>9.9999999999999978E-2</v>
      </c>
      <c r="D42" s="875">
        <v>30</v>
      </c>
      <c r="E42" s="875">
        <f t="shared" si="3"/>
        <v>1.0499999999999999E-2</v>
      </c>
      <c r="F42" s="876">
        <f t="shared" si="4"/>
        <v>10.499999999999998</v>
      </c>
      <c r="I42" s="874">
        <v>2050</v>
      </c>
      <c r="J42" s="876">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4"/>
  <cols>
    <col min="1" max="1" width="20.88671875" bestFit="1" customWidth="1"/>
    <col min="2" max="2" width="23.109375" bestFit="1" customWidth="1"/>
    <col min="3" max="3" width="23.109375" customWidth="1"/>
    <col min="4" max="4" width="26.88671875" customWidth="1"/>
    <col min="5" max="5" width="15.33203125" bestFit="1" customWidth="1"/>
  </cols>
  <sheetData>
    <row r="1" spans="1:5" ht="21.6" thickBot="1">
      <c r="A1" s="972" t="s">
        <v>1506</v>
      </c>
      <c r="B1" s="973"/>
      <c r="C1" s="973"/>
      <c r="D1" s="973"/>
      <c r="E1" s="974"/>
    </row>
    <row r="2" spans="1:5" ht="15.6">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4"/>
  <cols>
    <col min="1" max="1" width="20.21875" bestFit="1" customWidth="1"/>
    <col min="2" max="2" width="27.21875" customWidth="1"/>
    <col min="3" max="9" width="22.109375" bestFit="1" customWidth="1"/>
    <col min="10" max="10" width="34.77734375" bestFit="1" customWidth="1"/>
    <col min="11" max="11" width="29.109375" bestFit="1" customWidth="1"/>
    <col min="12" max="12" width="22.109375" bestFit="1" customWidth="1"/>
    <col min="13" max="13" width="27.6640625" bestFit="1" customWidth="1"/>
    <col min="14" max="15" width="22.109375" bestFit="1" customWidth="1"/>
    <col min="16" max="16" width="11.77734375" bestFit="1" customWidth="1"/>
    <col min="17" max="17" width="12" bestFit="1" customWidth="1"/>
    <col min="18" max="18" width="17.6640625" customWidth="1"/>
    <col min="20" max="20" width="35.109375" bestFit="1" customWidth="1"/>
    <col min="21" max="21" width="16" bestFit="1" customWidth="1"/>
    <col min="22" max="22" width="15.88671875" bestFit="1" customWidth="1"/>
    <col min="23" max="23" width="14.33203125" bestFit="1" customWidth="1"/>
    <col min="24" max="24" width="13.6640625" bestFit="1" customWidth="1"/>
    <col min="25" max="25" width="26.6640625" customWidth="1"/>
    <col min="26" max="26" width="15.88671875" bestFit="1" customWidth="1"/>
    <col min="29" max="29" width="18" bestFit="1" customWidth="1"/>
    <col min="30" max="30" width="16.6640625" customWidth="1"/>
    <col min="31" max="31" width="14.33203125" bestFit="1" customWidth="1"/>
    <col min="32" max="33" width="12.21875" bestFit="1" customWidth="1"/>
    <col min="34" max="35" width="13.33203125" bestFit="1" customWidth="1"/>
    <col min="38" max="38" width="18" bestFit="1" customWidth="1"/>
    <col min="39" max="39" width="4.6640625" bestFit="1" customWidth="1"/>
    <col min="40" max="40" width="10.77734375" bestFit="1" customWidth="1"/>
    <col min="41" max="41" width="8.77734375" bestFit="1" customWidth="1"/>
    <col min="42" max="42" width="9.77734375" bestFit="1" customWidth="1"/>
    <col min="43" max="43" width="6.109375" bestFit="1" customWidth="1"/>
    <col min="44" max="44" width="10.77734375" bestFit="1" customWidth="1"/>
    <col min="47" max="47" width="18" bestFit="1" customWidth="1"/>
    <col min="48" max="48" width="4.88671875" bestFit="1" customWidth="1"/>
    <col min="49" max="49" width="10.77734375" bestFit="1" customWidth="1"/>
    <col min="50" max="50" width="8.77734375" bestFit="1" customWidth="1"/>
    <col min="51" max="51" width="9.77734375" bestFit="1" customWidth="1"/>
    <col min="52" max="52" width="6.109375" bestFit="1" customWidth="1"/>
    <col min="53" max="53" width="9.77734375" bestFit="1" customWidth="1"/>
    <col min="56" max="56" width="18" bestFit="1" customWidth="1"/>
    <col min="58" max="58" width="10.6640625" bestFit="1" customWidth="1"/>
    <col min="60" max="60" width="9.6640625" bestFit="1" customWidth="1"/>
    <col min="61" max="61" width="6.21875" bestFit="1" customWidth="1"/>
    <col min="65" max="65" width="18" bestFit="1" customWidth="1"/>
    <col min="66" max="66" width="10.6640625" bestFit="1" customWidth="1"/>
    <col min="67" max="67" width="12.21875" bestFit="1" customWidth="1"/>
    <col min="68" max="69" width="9.6640625" bestFit="1" customWidth="1"/>
    <col min="70" max="71" width="10.6640625" bestFit="1" customWidth="1"/>
  </cols>
  <sheetData>
    <row r="1" spans="1:72" ht="18.600000000000001" thickBot="1">
      <c r="A1" s="975" t="s">
        <v>43</v>
      </c>
      <c r="B1" s="976"/>
      <c r="C1" s="976"/>
      <c r="D1" s="976"/>
      <c r="E1" s="976"/>
      <c r="F1" s="976"/>
      <c r="G1" s="976"/>
      <c r="H1" s="976"/>
      <c r="I1" s="976"/>
      <c r="J1" s="976"/>
      <c r="K1" s="976"/>
      <c r="L1" s="976"/>
      <c r="M1" s="976"/>
      <c r="N1" s="976"/>
      <c r="O1" s="977"/>
    </row>
    <row r="2" spans="1:72" ht="29.4"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13" t="s">
        <v>99</v>
      </c>
      <c r="U2" s="914"/>
      <c r="V2" s="914"/>
      <c r="W2" s="914"/>
      <c r="X2" s="914"/>
      <c r="Y2" s="914"/>
      <c r="Z2" s="914"/>
      <c r="AA2" s="915"/>
      <c r="AC2" s="913" t="s">
        <v>101</v>
      </c>
      <c r="AD2" s="914"/>
      <c r="AE2" s="914"/>
      <c r="AF2" s="914"/>
      <c r="AG2" s="914"/>
      <c r="AH2" s="914"/>
      <c r="AI2" s="914"/>
      <c r="AJ2" s="915"/>
      <c r="AL2" s="913" t="s">
        <v>103</v>
      </c>
      <c r="AM2" s="914"/>
      <c r="AN2" s="914"/>
      <c r="AO2" s="914"/>
      <c r="AP2" s="914"/>
      <c r="AQ2" s="914"/>
      <c r="AR2" s="914"/>
      <c r="AS2" s="915"/>
      <c r="AU2" s="913" t="s">
        <v>102</v>
      </c>
      <c r="AV2" s="914"/>
      <c r="AW2" s="914"/>
      <c r="AX2" s="914"/>
      <c r="AY2" s="914"/>
      <c r="AZ2" s="914"/>
      <c r="BA2" s="914"/>
      <c r="BB2" s="915"/>
      <c r="BD2" s="905" t="s">
        <v>104</v>
      </c>
      <c r="BE2" s="906"/>
      <c r="BF2" s="906"/>
      <c r="BG2" s="906"/>
      <c r="BH2" s="906"/>
      <c r="BI2" s="906"/>
      <c r="BJ2" s="906"/>
      <c r="BK2" s="907"/>
      <c r="BM2" s="916" t="s">
        <v>105</v>
      </c>
      <c r="BN2" s="917"/>
      <c r="BO2" s="917"/>
      <c r="BP2" s="917"/>
      <c r="BQ2" s="917"/>
      <c r="BR2" s="917"/>
      <c r="BS2" s="917"/>
      <c r="BT2" s="918"/>
    </row>
    <row r="3" spans="1:72" ht="43.2">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5" t="s">
        <v>174</v>
      </c>
      <c r="B13" s="976"/>
      <c r="C13" s="976"/>
      <c r="D13" s="976"/>
      <c r="E13" s="976"/>
      <c r="F13" s="976"/>
      <c r="G13" s="976"/>
      <c r="J13" s="975" t="s">
        <v>183</v>
      </c>
      <c r="K13" s="976"/>
      <c r="L13" s="976"/>
      <c r="M13" s="976"/>
      <c r="N13" s="976"/>
      <c r="O13" s="976"/>
      <c r="P13" s="976"/>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29.4"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29.4"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29.4"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29.4"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600000000000001"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05" t="s">
        <v>117</v>
      </c>
      <c r="U20" s="906"/>
      <c r="V20" s="906"/>
      <c r="W20" s="906"/>
      <c r="X20" s="906"/>
      <c r="Y20" s="906"/>
      <c r="Z20" s="906"/>
      <c r="AA20" s="907"/>
      <c r="AC20" s="913" t="s">
        <v>116</v>
      </c>
      <c r="AD20" s="914"/>
      <c r="AE20" s="914"/>
      <c r="AF20" s="914"/>
      <c r="AG20" s="914"/>
      <c r="AH20" s="914"/>
      <c r="AI20" s="914"/>
      <c r="AJ20" s="915"/>
      <c r="AL20" s="913" t="s">
        <v>115</v>
      </c>
      <c r="AM20" s="914"/>
      <c r="AN20" s="914"/>
      <c r="AO20" s="914"/>
      <c r="AP20" s="914"/>
      <c r="AQ20" s="914"/>
      <c r="AR20" s="914"/>
      <c r="AS20" s="915"/>
      <c r="AU20" s="913" t="s">
        <v>114</v>
      </c>
      <c r="AV20" s="914"/>
      <c r="AW20" s="914"/>
      <c r="AX20" s="914"/>
      <c r="AY20" s="914"/>
      <c r="AZ20" s="914"/>
      <c r="BA20" s="914"/>
      <c r="BB20" s="915"/>
      <c r="BD20" s="913" t="s">
        <v>113</v>
      </c>
      <c r="BE20" s="914"/>
      <c r="BF20" s="914"/>
      <c r="BG20" s="914"/>
      <c r="BH20" s="914"/>
      <c r="BI20" s="914"/>
      <c r="BJ20" s="914"/>
      <c r="BK20" s="915"/>
      <c r="BM20" s="913" t="s">
        <v>112</v>
      </c>
      <c r="BN20" s="914"/>
      <c r="BO20" s="914"/>
      <c r="BP20" s="914"/>
      <c r="BQ20" s="914"/>
      <c r="BR20" s="914"/>
      <c r="BS20" s="914"/>
      <c r="BT20" s="915"/>
    </row>
    <row r="21" spans="1:72" ht="43.8"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899999999999999" customHeight="1" thickBot="1">
      <c r="A22" s="978" t="s">
        <v>200</v>
      </c>
      <c r="B22" s="979"/>
      <c r="C22" s="979"/>
      <c r="D22" s="979"/>
      <c r="E22" s="979"/>
      <c r="F22" s="979"/>
      <c r="G22" s="979"/>
      <c r="H22" s="980"/>
      <c r="J22" s="913" t="s">
        <v>190</v>
      </c>
      <c r="K22" s="914"/>
      <c r="L22" s="914"/>
      <c r="M22" s="914"/>
      <c r="N22" s="914"/>
      <c r="O22" s="914"/>
      <c r="P22" s="914"/>
      <c r="Q22" s="915"/>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600000000000001" thickBot="1">
      <c r="A27" s="905" t="s">
        <v>481</v>
      </c>
      <c r="B27" s="906"/>
      <c r="C27" s="906"/>
      <c r="D27" s="906"/>
      <c r="E27" s="906"/>
      <c r="F27" s="906"/>
      <c r="G27" s="906"/>
      <c r="H27" s="906"/>
      <c r="I27" s="907"/>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600000000000001" thickBot="1">
      <c r="A38" s="905" t="s">
        <v>480</v>
      </c>
      <c r="B38" s="906"/>
      <c r="C38" s="906"/>
      <c r="D38" s="906"/>
      <c r="E38" s="906"/>
      <c r="F38" s="907"/>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3.2">
      <c r="A39" s="52" t="s">
        <v>191</v>
      </c>
      <c r="B39" s="53" t="s">
        <v>161</v>
      </c>
      <c r="C39" s="53" t="s">
        <v>185</v>
      </c>
      <c r="D39" s="53" t="s">
        <v>192</v>
      </c>
      <c r="E39" s="53" t="s">
        <v>193</v>
      </c>
      <c r="F39" s="545" t="s">
        <v>489</v>
      </c>
      <c r="G39" s="49"/>
    </row>
    <row r="40" spans="1:72">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 thickBot="1">
      <c r="Y46" s="52" t="s">
        <v>150</v>
      </c>
      <c r="Z46" s="116">
        <v>1.1800365860374284E-3</v>
      </c>
      <c r="AA46" s="116">
        <v>0</v>
      </c>
      <c r="AB46" s="117">
        <v>0</v>
      </c>
    </row>
    <row r="47" spans="1:72" ht="15" thickBot="1"/>
    <row r="48" spans="1:72" ht="19.5" customHeight="1" thickBot="1">
      <c r="A48" s="905" t="s">
        <v>476</v>
      </c>
      <c r="B48" s="906"/>
      <c r="C48" s="906"/>
      <c r="D48" s="906"/>
      <c r="E48" s="906"/>
      <c r="F48" s="906"/>
      <c r="G48" s="906"/>
      <c r="H48" s="907"/>
    </row>
    <row r="49" spans="1:31" ht="15" thickBot="1">
      <c r="A49" s="52" t="s">
        <v>149</v>
      </c>
      <c r="B49" s="53" t="s">
        <v>48</v>
      </c>
      <c r="C49" s="53" t="s">
        <v>108</v>
      </c>
      <c r="D49" s="53" t="s">
        <v>192</v>
      </c>
      <c r="E49" s="53" t="s">
        <v>193</v>
      </c>
      <c r="F49" s="544" t="s">
        <v>489</v>
      </c>
      <c r="G49" s="53" t="s">
        <v>165</v>
      </c>
      <c r="H49" s="54" t="s">
        <v>45</v>
      </c>
    </row>
    <row r="50" spans="1:31" ht="58.2"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600000000000001"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05" t="s">
        <v>97</v>
      </c>
      <c r="K51" s="906"/>
      <c r="L51" s="906"/>
      <c r="M51" s="906"/>
      <c r="N51" s="906"/>
      <c r="O51" s="907"/>
      <c r="X51" s="52" t="s">
        <v>60</v>
      </c>
      <c r="Y51" s="158">
        <v>5.5636485967574438E-4</v>
      </c>
      <c r="Z51" s="159">
        <v>9.6548743018316199E-4</v>
      </c>
      <c r="AA51" s="160">
        <v>28</v>
      </c>
      <c r="AC51" s="141">
        <v>1.0336351972350417</v>
      </c>
      <c r="AE51" s="142">
        <v>1.22</v>
      </c>
    </row>
    <row r="52" spans="1:31" ht="87"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29.4"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29.4"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29.4"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600000000000001" thickBot="1">
      <c r="A58" s="905" t="s">
        <v>482</v>
      </c>
      <c r="B58" s="906"/>
      <c r="C58" s="906"/>
      <c r="D58" s="906"/>
      <c r="E58" s="906"/>
      <c r="F58" s="906"/>
      <c r="G58" s="906"/>
      <c r="H58" s="907"/>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7734375" defaultRowHeight="14.4"/>
  <cols>
    <col min="1" max="1" width="23.33203125" customWidth="1"/>
    <col min="2" max="2" width="11.109375" customWidth="1"/>
    <col min="3" max="3" width="9.88671875" customWidth="1"/>
    <col min="4" max="4" width="15.77734375" customWidth="1"/>
    <col min="6" max="6" width="19" customWidth="1"/>
    <col min="9" max="9" width="43.88671875" bestFit="1" customWidth="1"/>
    <col min="11" max="11" width="15" bestFit="1" customWidth="1"/>
    <col min="12" max="12" width="12.21875" bestFit="1" customWidth="1"/>
    <col min="14" max="15" width="15" bestFit="1" customWidth="1"/>
  </cols>
  <sheetData>
    <row r="1" spans="1:15" ht="57.6">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4"/>
  <cols>
    <col min="1" max="1" width="32.21875" bestFit="1" customWidth="1"/>
    <col min="2" max="2" width="36.33203125" bestFit="1" customWidth="1"/>
    <col min="3" max="3" width="30.21875" bestFit="1" customWidth="1"/>
    <col min="4" max="4" width="29.88671875" bestFit="1" customWidth="1"/>
    <col min="5" max="5" width="23.6640625" bestFit="1" customWidth="1"/>
    <col min="6" max="6" width="25.88671875" bestFit="1" customWidth="1"/>
    <col min="7" max="7" width="28" bestFit="1" customWidth="1"/>
    <col min="8" max="9" width="23.6640625" bestFit="1" customWidth="1"/>
    <col min="10" max="10" width="52.33203125" bestFit="1" customWidth="1"/>
    <col min="11" max="11" width="23.6640625" bestFit="1" customWidth="1"/>
    <col min="12" max="12" width="71.33203125" bestFit="1" customWidth="1"/>
    <col min="13" max="15" width="23.6640625" bestFit="1" customWidth="1"/>
  </cols>
  <sheetData>
    <row r="1" spans="1:15" ht="21">
      <c r="A1" s="981" t="s">
        <v>395</v>
      </c>
      <c r="B1" s="982"/>
      <c r="C1" s="982"/>
      <c r="D1" s="982"/>
      <c r="E1" s="982"/>
      <c r="F1" s="982"/>
      <c r="G1" s="982"/>
      <c r="H1" s="982"/>
      <c r="I1" s="982"/>
      <c r="J1" s="982"/>
      <c r="K1" s="982"/>
      <c r="L1" s="982"/>
      <c r="M1" s="982"/>
      <c r="N1" s="982"/>
      <c r="O1" s="98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6" thickBot="1">
      <c r="A17" s="987" t="s">
        <v>478</v>
      </c>
      <c r="B17" s="988"/>
      <c r="C17" s="988"/>
      <c r="D17" s="988"/>
      <c r="E17" s="988"/>
      <c r="F17" s="988"/>
      <c r="G17" s="989"/>
      <c r="J17" s="981" t="s">
        <v>1478</v>
      </c>
      <c r="K17" s="982"/>
      <c r="L17" s="982"/>
      <c r="M17" s="982"/>
      <c r="N17" s="983"/>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6" thickBot="1">
      <c r="A22" s="987" t="s">
        <v>397</v>
      </c>
      <c r="B22" s="988"/>
      <c r="C22" s="988"/>
      <c r="D22" s="988"/>
      <c r="E22" s="988"/>
      <c r="F22" s="989"/>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6" thickBot="1">
      <c r="A28" s="981" t="s">
        <v>398</v>
      </c>
      <c r="B28" s="982"/>
      <c r="C28" s="982"/>
      <c r="D28" s="982"/>
      <c r="E28" s="982"/>
      <c r="F28" s="982"/>
      <c r="G28" s="982"/>
      <c r="H28" s="983"/>
      <c r="J28" s="526" t="s">
        <v>246</v>
      </c>
      <c r="K28" s="637">
        <v>1946718</v>
      </c>
      <c r="L28" s="637">
        <v>175380</v>
      </c>
      <c r="M28" s="637">
        <v>491064</v>
      </c>
      <c r="N28" s="311">
        <f t="shared" si="0"/>
        <v>2613162</v>
      </c>
    </row>
    <row r="29" spans="1:14">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1">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84" t="s">
        <v>479</v>
      </c>
      <c r="B45" s="985"/>
      <c r="C45" s="985"/>
      <c r="D45" s="985"/>
      <c r="E45" s="985"/>
      <c r="F45" s="985"/>
      <c r="G45" s="986"/>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4"/>
  <cols>
    <col min="2" max="2" width="27.109375" bestFit="1" customWidth="1"/>
    <col min="3" max="4" width="22.6640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shiri nitzan</cp:lastModifiedBy>
  <dcterms:created xsi:type="dcterms:W3CDTF">2020-10-29T14:33:01Z</dcterms:created>
  <dcterms:modified xsi:type="dcterms:W3CDTF">2024-04-23T07:37:01Z</dcterms:modified>
</cp:coreProperties>
</file>